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9\"/>
    </mc:Choice>
  </mc:AlternateContent>
  <xr:revisionPtr revIDLastSave="0" documentId="13_ncr:1_{397EE8D0-E9C8-41B3-A260-E9653BF2FB59}" xr6:coauthVersionLast="47" xr6:coauthVersionMax="47" xr10:uidLastSave="{00000000-0000-0000-0000-000000000000}"/>
  <bookViews>
    <workbookView xWindow="11316" yWindow="0" windowWidth="11676" windowHeight="12312" firstSheet="27" activeTab="27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EJERCICIO ACUMULATIVO 3" sheetId="27" r:id="rId27"/>
    <sheet name="EJERCICIOS DE REPASO 03 NOV" sheetId="28" r:id="rId28"/>
    <sheet name="Hoja1" sheetId="29" r:id="rId29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G180" i="28" l="1"/>
  <c r="F180" i="28"/>
  <c r="E180" i="28"/>
  <c r="D180" i="28"/>
  <c r="G136" i="28"/>
  <c r="F136" i="28"/>
  <c r="E136" i="28"/>
  <c r="D136" i="28"/>
  <c r="G68" i="28"/>
  <c r="F68" i="28"/>
  <c r="E68" i="28"/>
  <c r="D68" i="28"/>
  <c r="F29" i="28"/>
  <c r="F33" i="28" s="1"/>
  <c r="F64" i="28"/>
  <c r="G176" i="28"/>
  <c r="F176" i="28"/>
  <c r="E176" i="28"/>
  <c r="G132" i="28"/>
  <c r="F132" i="28"/>
  <c r="E132" i="28"/>
  <c r="D96" i="28"/>
  <c r="E99" i="28"/>
  <c r="G64" i="28"/>
  <c r="E64" i="28"/>
  <c r="G29" i="28"/>
  <c r="G33" i="28" s="1"/>
  <c r="E33" i="28"/>
  <c r="D33" i="28"/>
  <c r="E66" i="24"/>
  <c r="E29" i="28"/>
  <c r="C7" i="27"/>
  <c r="D19" i="27"/>
  <c r="D16" i="27"/>
  <c r="D17" i="27" s="1"/>
  <c r="C8" i="27"/>
  <c r="D76" i="27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8" i="27"/>
  <c r="D99" i="28" l="1"/>
  <c r="D46" i="27"/>
  <c r="D48" i="27" s="1"/>
  <c r="E36" i="27"/>
  <c r="E21" i="27"/>
  <c r="D21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<sst xmlns="http://schemas.openxmlformats.org/spreadsheetml/2006/main" count="512" uniqueCount="140">
  <si>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</si>
  <si>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</si>
  <si>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</si>
  <si>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</si>
  <si>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</si>
  <si>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</si>
  <si>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</si>
  <si>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</si>
  <si>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</si>
  <si>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</si>
  <si>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</si>
  <si>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</si>
  <si>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</si>
  <si>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</si>
  <si>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</si>
  <si>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</si>
  <si>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</si>
  <si>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</si>
  <si>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</si>
  <si>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</si>
  <si>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</si>
  <si>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</si>
  <si>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</si>
  <si>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</si>
  <si>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</si>
  <si>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</si>
  <si>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</si>
  <si>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</si>
  <si>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</si>
  <si>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</si>
  <si>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</si>
  <si>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</si>
  <si>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</si>
  <si>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</si>
  <si>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</si>
  <si>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</si>
  <si>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</si>
  <si>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</si>
  <si>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</si>
  <si>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</si>
  <si>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</si>
  <si>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</si>
  <si>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</si>
  <si>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</si>
  <si>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</si>
  <si>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</si>
  <si>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</si>
  <si>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</si>
  <si>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</si>
  <si>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</si>
  <si>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</si>
  <si>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</si>
  <si>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</si>
  <si>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</si>
  <si>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</si>
  <si>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</si>
  <si>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</si>
  <si>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</si>
  <si>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</si>
  <si>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</si>
  <si>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</si>
  <si>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</si>
  <si>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</si>
  <si>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</si>
  <si>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</si>
  <si>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</si>
  <si>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</si>
  <si>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</si>
  <si>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</si>
  <si>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</si>
  <si>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</si>
  <si>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</si>
  <si>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</si>
  <si>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</si>
  <si>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</si>
  <si>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</si>
  <si>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</si>
  <si>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</si>
  <si>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</si>
  <si>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</si>
  <si>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</si>
  <si>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</si>
  <si>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</si>
  <si>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</si>
  <si>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</si>
  <si>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</si>
  <si>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</si>
  <si>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</si>
  <si>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</si>
  <si>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</si>
  <si>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</si>
  <si>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</si>
  <si>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</si>
  <si>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</si>
  <si>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</si>
  <si>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</si>
  <si>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</si>
  <si>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</si>
  <si>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</si>
  <si>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</si>
  <si>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</si>
  <si>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</si>
  <si>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</si>
  <si>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</si>
  <si>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</si>
  <si>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</si>
  <si>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</si>
  <si>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</si>
  <si>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</si>
  <si>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</si>
  <si>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</si>
  <si>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</si>
  <si>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</si>
  <si>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</si>
  <si>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</si>
  <si>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</si>
  <si>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</si>
  <si>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</si>
  <si>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</si>
  <si>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</si>
  <si>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</si>
  <si>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</si>
  <si>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</si>
  <si>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</si>
  <si>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</si>
  <si>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</si>
  <si>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</si>
  <si>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</si>
  <si>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</si>
  <si>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</si>
  <si>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</si>
  <si>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</si>
  <si>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</si>
  <si>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</si>
  <si>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</si>
  <si>
    <t>cuatrimestre</t>
  </si>
  <si>
    <t>trimestralmente</t>
  </si>
  <si>
    <t>semestralmente</t>
  </si>
  <si>
    <t>bimestralmente</t>
  </si>
  <si>
    <t>Mensualmente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</si>
</sst>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23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  <xf numFmtId="9" fontId="0" fillId="0" borderId="24" xfId="1" applyFont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6" borderId="5" xfId="0" applyFill="1" applyBorder="1"/>
    <xf numFmtId="0" fontId="0" fillId="6" borderId="67" xfId="0" applyFill="1" applyBorder="1"/>
    <xf numFmtId="0" fontId="0" fillId="6" borderId="68" xfId="0" applyFill="1" applyBorder="1"/>
    <xf numFmtId="0" fontId="0" fillId="4" borderId="68" xfId="0" applyFill="1" applyBorder="1"/>
    <xf numFmtId="0" fontId="0" fillId="4" borderId="5" xfId="0" applyFill="1" applyBorder="1"/>
    <xf numFmtId="0" fontId="0" fillId="4" borderId="67" xfId="0" applyFill="1" applyBorder="1"/>
    <xf numFmtId="0" fontId="0" fillId="8" borderId="5" xfId="0" applyFill="1" applyBorder="1"/>
    <xf numFmtId="0" fontId="0" fillId="8" borderId="67" xfId="0" applyFill="1" applyBorder="1"/>
    <xf numFmtId="0" fontId="0" fillId="8" borderId="68" xfId="0" applyFill="1" applyBorder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788671</xdr:colOff>
      <xdr:row>0</xdr:row>
      <xdr:rowOff>0</xdr:rowOff>
    </xdr:from>
    <xdr:to>
      <xdr:col>7</xdr:col>
      <xdr:colOff>617221</xdr:colOff>
      <xdr:row>23</xdr:row>
      <xdr:rowOff>163830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86A4CED-31E2-B83B-0494-3547466D35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15" t="18317" r="12908" b="10907"/>
        <a:stretch/>
      </xdr:blipFill>
      <xdr:spPr>
        <a:xfrm>
          <a:off x="788671" y="0"/>
          <a:ext cx="7936230" cy="43700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5" name="AutoShape 3">
          <a:extLst>
            <a:ext uri="{FF2B5EF4-FFF2-40B4-BE49-F238E27FC236}">
              <a16:creationId xmlns:a16="http://schemas.microsoft.com/office/drawing/2014/main" id="{FCC1F27C-7302-449F-F3EE-EDD124A91DA2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6" name="AutoShape 4">
          <a:extLst>
            <a:ext uri="{FF2B5EF4-FFF2-40B4-BE49-F238E27FC236}">
              <a16:creationId xmlns:a16="http://schemas.microsoft.com/office/drawing/2014/main" id="{203F5311-E6AD-D9CC-37DA-C880AEFC52A7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36</xdr:row>
      <xdr:rowOff>121920</xdr:rowOff>
    </xdr:to>
    <xdr:sp macro="" textlink="">
      <xdr:nvSpPr>
        <xdr:cNvPr id="28677" name="AutoShape 5">
          <a:extLst>
            <a:ext uri="{FF2B5EF4-FFF2-40B4-BE49-F238E27FC236}">
              <a16:creationId xmlns:a16="http://schemas.microsoft.com/office/drawing/2014/main" id="{903D089B-AB5A-5E68-9FF9-B42E22EE8163}"/>
            </a:ext>
          </a:extLst>
        </xdr:cNvPr>
        <xdr:cNvSpPr>
          <a:spLocks noChangeAspect="1" noChangeArrowheads="1"/>
        </xdr:cNvSpPr>
      </xdr:nvSpPr>
      <xdr:spPr bwMode="auto">
        <a:xfrm>
          <a:off x="792480" y="640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35</xdr:row>
      <xdr:rowOff>60960</xdr:rowOff>
    </xdr:from>
    <xdr:to>
      <xdr:col>7</xdr:col>
      <xdr:colOff>564271</xdr:colOff>
      <xdr:row>59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36B93E2-B286-D274-4E43-DE5749AE2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003" t="22818" r="19823" b="19397"/>
        <a:stretch/>
      </xdr:blipFill>
      <xdr:spPr>
        <a:xfrm>
          <a:off x="792480" y="6461760"/>
          <a:ext cx="7879471" cy="432816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68</xdr:row>
      <xdr:rowOff>160712</xdr:rowOff>
    </xdr:from>
    <xdr:to>
      <xdr:col>7</xdr:col>
      <xdr:colOff>396240</xdr:colOff>
      <xdr:row>91</xdr:row>
      <xdr:rowOff>93505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5516A2F-936C-6AD4-F8C8-A837E6025D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1020" t="24190" r="18756" b="17454"/>
        <a:stretch/>
      </xdr:blipFill>
      <xdr:spPr>
        <a:xfrm>
          <a:off x="762000" y="12408130"/>
          <a:ext cx="7739149" cy="4075302"/>
        </a:xfrm>
        <a:prstGeom prst="rect">
          <a:avLst/>
        </a:prstGeom>
      </xdr:spPr>
    </xdr:pic>
    <xdr:clientData/>
  </xdr:twoCellAnchor>
  <xdr:twoCellAnchor editAs="oneCell">
    <xdr:from>
      <xdr:col>1</xdr:col>
      <xdr:colOff>30479</xdr:colOff>
      <xdr:row>101</xdr:row>
      <xdr:rowOff>30479</xdr:rowOff>
    </xdr:from>
    <xdr:to>
      <xdr:col>7</xdr:col>
      <xdr:colOff>548640</xdr:colOff>
      <xdr:row>126</xdr:row>
      <xdr:rowOff>158496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6853C8B-493F-C715-2574-F3BB3AF67E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7059" t="38644" r="37183" b="34333"/>
        <a:stretch/>
      </xdr:blipFill>
      <xdr:spPr>
        <a:xfrm>
          <a:off x="822959" y="18501359"/>
          <a:ext cx="7833361" cy="4700017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143</xdr:row>
      <xdr:rowOff>60960</xdr:rowOff>
    </xdr:from>
    <xdr:to>
      <xdr:col>7</xdr:col>
      <xdr:colOff>762000</xdr:colOff>
      <xdr:row>169</xdr:row>
      <xdr:rowOff>147930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28E8578-DC68-2C79-6B5F-D4A62E19AF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7505" t="34967" r="37492" b="37770"/>
        <a:stretch/>
      </xdr:blipFill>
      <xdr:spPr>
        <a:xfrm>
          <a:off x="975360" y="26212800"/>
          <a:ext cx="7894320" cy="4841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 x14ac:dyDescent="0.3"/>
  <sheetData>
    <row r="1" spans="2:10" ht="31.2" x14ac:dyDescent="0.7">
      <c r="F1" s="282" t="s">
        <v>0</v>
      </c>
      <c r="G1" s="282"/>
      <c r="H1" s="282"/>
      <c r="I1" s="282"/>
    </row>
    <row r="2" spans="2:10" ht="46.2" x14ac:dyDescent="0.85">
      <c r="E2" s="281" t="s">
        <v>1</v>
      </c>
      <c r="F2" s="281"/>
      <c r="G2" s="281"/>
      <c r="H2" s="281"/>
      <c r="I2" s="281"/>
      <c r="J2" s="281"/>
    </row>
    <row r="4" spans="2:10" x14ac:dyDescent="0.3">
      <c r="C4" t="s">
        <v>2</v>
      </c>
    </row>
    <row r="5" spans="2:10" x14ac:dyDescent="0.3">
      <c r="C5" t="s">
        <v>3</v>
      </c>
    </row>
    <row r="7" spans="2:10" x14ac:dyDescent="0.3">
      <c r="C7">
        <f>0.2/4</f>
        <v>0.05</v>
      </c>
      <c r="D7" t="s">
        <v>4</v>
      </c>
    </row>
    <row r="10" spans="2:10" x14ac:dyDescent="0.3">
      <c r="B10" t="s">
        <v>5</v>
      </c>
    </row>
    <row r="11" spans="2:10" x14ac:dyDescent="0.3">
      <c r="C11" t="s">
        <v>6</v>
      </c>
    </row>
    <row r="12" spans="2:10" x14ac:dyDescent="0.3">
      <c r="C12" t="s">
        <v>7</v>
      </c>
    </row>
    <row r="13" spans="2:10" x14ac:dyDescent="0.3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7" sqref="E7"/>
    </sheetView>
  </sheetViews>
  <sheetFormatPr baseColWidth="10" defaultRowHeight="14.4" x14ac:dyDescent="0.3"/>
  <cols>
    <col min="5" max="5" width="14.21875" bestFit="1" customWidth="1"/>
  </cols>
  <sheetData>
    <row r="2" spans="3:8" x14ac:dyDescent="0.3">
      <c r="C2" s="284" t="s">
        <v>56</v>
      </c>
      <c r="D2" s="285"/>
      <c r="E2" s="285"/>
      <c r="F2" s="286"/>
    </row>
    <row r="3" spans="3:8" x14ac:dyDescent="0.3">
      <c r="C3" s="95"/>
      <c r="D3" s="96"/>
      <c r="E3" s="96"/>
      <c r="F3" s="94"/>
    </row>
    <row r="4" spans="3:8" x14ac:dyDescent="0.3">
      <c r="C4" s="34" t="s">
        <v>57</v>
      </c>
      <c r="D4" s="115"/>
      <c r="E4" s="116"/>
      <c r="F4" s="93"/>
    </row>
    <row r="5" spans="3:8" x14ac:dyDescent="0.3">
      <c r="C5" s="109" t="s">
        <v>9</v>
      </c>
      <c r="D5" s="4" t="s">
        <v>11</v>
      </c>
      <c r="E5" s="104">
        <v>15000</v>
      </c>
      <c r="F5" s="93"/>
    </row>
    <row r="6" spans="3:8" x14ac:dyDescent="0.3">
      <c r="C6" s="110" t="s">
        <v>58</v>
      </c>
      <c r="D6" s="4" t="s">
        <v>12</v>
      </c>
      <c r="E6" s="105">
        <f>12%/4</f>
        <v>0.03</v>
      </c>
      <c r="F6" s="111"/>
    </row>
    <row r="7" spans="3:8" x14ac:dyDescent="0.3">
      <c r="C7" s="107"/>
      <c r="D7" s="22" t="s">
        <v>13</v>
      </c>
      <c r="E7" s="90">
        <f>7.5/3</f>
        <v>2.5</v>
      </c>
      <c r="F7" s="107" t="s">
        <v>59</v>
      </c>
    </row>
    <row r="8" spans="3:8" x14ac:dyDescent="0.3">
      <c r="C8" s="112"/>
      <c r="D8" s="114"/>
      <c r="E8" s="93"/>
      <c r="F8" s="113"/>
    </row>
    <row r="9" spans="3:8" x14ac:dyDescent="0.3">
      <c r="C9" s="111"/>
      <c r="D9" s="22" t="s">
        <v>49</v>
      </c>
      <c r="E9" s="106">
        <f>FV(E6,E7,,-E5)</f>
        <v>16150.438592109504</v>
      </c>
      <c r="F9" s="111"/>
    </row>
    <row r="12" spans="3:8" x14ac:dyDescent="0.3">
      <c r="C12" t="s">
        <v>60</v>
      </c>
    </row>
    <row r="13" spans="3:8" x14ac:dyDescent="0.3">
      <c r="H13" s="102"/>
    </row>
    <row r="15" spans="3:8" x14ac:dyDescent="0.3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8" sqref="D8"/>
    </sheetView>
  </sheetViews>
  <sheetFormatPr baseColWidth="10" defaultRowHeight="14.4" x14ac:dyDescent="0.3"/>
  <cols>
    <col min="4" max="4" width="18.33203125" customWidth="1"/>
  </cols>
  <sheetData>
    <row r="2" spans="2:5" x14ac:dyDescent="0.3">
      <c r="C2" s="287" t="s">
        <v>50</v>
      </c>
      <c r="D2" s="287"/>
      <c r="E2" s="287"/>
    </row>
    <row r="4" spans="2:5" x14ac:dyDescent="0.3">
      <c r="B4" s="284" t="s">
        <v>56</v>
      </c>
      <c r="C4" s="285"/>
      <c r="D4" s="285"/>
      <c r="E4" s="286"/>
    </row>
    <row r="5" spans="2:5" x14ac:dyDescent="0.3">
      <c r="B5" s="95"/>
      <c r="C5" s="96"/>
      <c r="D5" s="96"/>
      <c r="E5" s="94"/>
    </row>
    <row r="6" spans="2:5" x14ac:dyDescent="0.3">
      <c r="B6" s="34" t="s">
        <v>57</v>
      </c>
      <c r="C6" s="115"/>
      <c r="D6" s="116"/>
      <c r="E6" s="93"/>
    </row>
    <row r="7" spans="2:5" x14ac:dyDescent="0.3">
      <c r="B7" s="109" t="s">
        <v>9</v>
      </c>
      <c r="C7" s="4" t="s">
        <v>11</v>
      </c>
      <c r="D7" s="104">
        <v>150000</v>
      </c>
      <c r="E7" s="93"/>
    </row>
    <row r="8" spans="2:5" x14ac:dyDescent="0.3">
      <c r="B8" s="110" t="s">
        <v>58</v>
      </c>
      <c r="C8" s="4" t="s">
        <v>12</v>
      </c>
      <c r="D8" s="105">
        <f>20%/2</f>
        <v>0.1</v>
      </c>
      <c r="E8" s="111"/>
    </row>
    <row r="9" spans="2:5" x14ac:dyDescent="0.3">
      <c r="B9" s="107"/>
      <c r="C9" s="22" t="s">
        <v>13</v>
      </c>
      <c r="D9" s="90">
        <f>15/6</f>
        <v>2.5</v>
      </c>
      <c r="E9" s="107" t="s">
        <v>61</v>
      </c>
    </row>
    <row r="10" spans="2:5" x14ac:dyDescent="0.3">
      <c r="B10" s="112"/>
      <c r="C10" s="114"/>
      <c r="D10" s="93"/>
      <c r="E10" s="113"/>
    </row>
    <row r="11" spans="2:5" x14ac:dyDescent="0.3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 x14ac:dyDescent="0.3"/>
  <sheetData>
    <row r="2" spans="2:5" x14ac:dyDescent="0.3">
      <c r="C2" s="287" t="s">
        <v>62</v>
      </c>
      <c r="D2" s="287"/>
      <c r="E2" s="287"/>
    </row>
    <row r="3" spans="2:5" x14ac:dyDescent="0.3">
      <c r="C3" s="287"/>
      <c r="D3" s="287"/>
      <c r="E3" s="287"/>
    </row>
    <row r="4" spans="2:5" x14ac:dyDescent="0.3">
      <c r="C4" t="s">
        <v>63</v>
      </c>
    </row>
    <row r="5" spans="2:5" x14ac:dyDescent="0.3">
      <c r="C5" t="s">
        <v>64</v>
      </c>
    </row>
    <row r="6" spans="2:5" x14ac:dyDescent="0.3">
      <c r="C6" t="s">
        <v>65</v>
      </c>
    </row>
    <row r="8" spans="2:5" x14ac:dyDescent="0.3">
      <c r="B8" t="s">
        <v>66</v>
      </c>
      <c r="C8" t="s">
        <v>67</v>
      </c>
    </row>
    <row r="9" spans="2:5" x14ac:dyDescent="0.3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G15" sqref="G15"/>
    </sheetView>
  </sheetViews>
  <sheetFormatPr baseColWidth="10" defaultRowHeight="14.4" x14ac:dyDescent="0.3"/>
  <cols>
    <col min="5" max="5" width="14.21875" bestFit="1" customWidth="1"/>
    <col min="6" max="6" width="14.21875" customWidth="1"/>
  </cols>
  <sheetData>
    <row r="2" spans="3:7" x14ac:dyDescent="0.3">
      <c r="C2" s="292" t="s">
        <v>69</v>
      </c>
      <c r="D2" s="293"/>
      <c r="E2" s="293"/>
      <c r="F2" s="293"/>
      <c r="G2" s="294"/>
    </row>
    <row r="3" spans="3:7" x14ac:dyDescent="0.3">
      <c r="C3" s="126"/>
      <c r="D3" s="127"/>
      <c r="E3" s="128"/>
      <c r="F3" s="120"/>
      <c r="G3" s="121"/>
    </row>
    <row r="4" spans="3:7" x14ac:dyDescent="0.3">
      <c r="C4" s="107" t="s">
        <v>33</v>
      </c>
      <c r="D4" s="21" t="s">
        <v>70</v>
      </c>
      <c r="E4" s="118">
        <v>50000</v>
      </c>
      <c r="F4" s="120"/>
      <c r="G4" s="122"/>
    </row>
    <row r="5" spans="3:7" x14ac:dyDescent="0.3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 x14ac:dyDescent="0.3">
      <c r="C6" s="124"/>
      <c r="D6" s="119" t="s">
        <v>13</v>
      </c>
      <c r="E6" s="108">
        <f>3*2</f>
        <v>6</v>
      </c>
      <c r="F6" s="290" t="s">
        <v>71</v>
      </c>
      <c r="G6" s="291"/>
    </row>
    <row r="7" spans="3:7" x14ac:dyDescent="0.3">
      <c r="C7" s="125"/>
      <c r="D7" s="22"/>
      <c r="E7" s="90"/>
      <c r="F7" s="43"/>
      <c r="G7" s="123"/>
    </row>
    <row r="8" spans="3:7" x14ac:dyDescent="0.3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 x14ac:dyDescent="0.3"/>
  <cols>
    <col min="6" max="6" width="19.109375" customWidth="1"/>
    <col min="7" max="7" width="15.21875" customWidth="1"/>
  </cols>
  <sheetData>
    <row r="1" spans="4:8" x14ac:dyDescent="0.3">
      <c r="D1" s="287"/>
      <c r="E1" s="287"/>
      <c r="F1" s="287"/>
      <c r="G1" s="287"/>
    </row>
    <row r="3" spans="4:8" x14ac:dyDescent="0.3">
      <c r="D3" s="292" t="s">
        <v>73</v>
      </c>
      <c r="E3" s="293"/>
      <c r="F3" s="293"/>
      <c r="G3" s="293"/>
      <c r="H3" s="294"/>
    </row>
    <row r="4" spans="4:8" x14ac:dyDescent="0.3">
      <c r="D4" s="135"/>
      <c r="E4" s="136"/>
      <c r="F4" s="137"/>
      <c r="G4" s="130"/>
      <c r="H4" s="131"/>
    </row>
    <row r="5" spans="4:8" x14ac:dyDescent="0.3">
      <c r="D5" s="142" t="s">
        <v>76</v>
      </c>
      <c r="E5" s="141"/>
      <c r="F5" s="118">
        <v>450000</v>
      </c>
      <c r="G5" s="130"/>
      <c r="H5" s="132"/>
    </row>
    <row r="6" spans="4:8" x14ac:dyDescent="0.3">
      <c r="D6" s="142" t="s">
        <v>75</v>
      </c>
      <c r="E6" s="141"/>
      <c r="F6" s="118">
        <v>225000</v>
      </c>
      <c r="G6" s="130"/>
      <c r="H6" s="132"/>
    </row>
    <row r="7" spans="4:8" x14ac:dyDescent="0.3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 x14ac:dyDescent="0.3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 x14ac:dyDescent="0.3">
      <c r="D9" s="138"/>
      <c r="E9" s="119" t="s">
        <v>13</v>
      </c>
      <c r="F9" s="108">
        <f>1.5*12</f>
        <v>18</v>
      </c>
      <c r="G9" s="290" t="s">
        <v>74</v>
      </c>
      <c r="H9" s="291"/>
    </row>
    <row r="10" spans="4:8" x14ac:dyDescent="0.3">
      <c r="D10" s="139"/>
      <c r="E10" s="22"/>
      <c r="F10" s="90"/>
      <c r="G10" s="140"/>
      <c r="H10" s="134"/>
    </row>
    <row r="11" spans="4:8" x14ac:dyDescent="0.3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 x14ac:dyDescent="0.3"/>
  <cols>
    <col min="5" max="5" width="11.77734375" bestFit="1" customWidth="1"/>
  </cols>
  <sheetData>
    <row r="2" spans="3:6" x14ac:dyDescent="0.3">
      <c r="D2" s="287" t="s">
        <v>78</v>
      </c>
      <c r="E2" s="287"/>
      <c r="F2" s="287"/>
    </row>
    <row r="4" spans="3:6" x14ac:dyDescent="0.3">
      <c r="C4" t="s">
        <v>79</v>
      </c>
      <c r="E4" s="48"/>
    </row>
    <row r="5" spans="3:6" x14ac:dyDescent="0.3">
      <c r="C5" t="s">
        <v>80</v>
      </c>
      <c r="E5" s="48"/>
    </row>
    <row r="6" spans="3:6" x14ac:dyDescent="0.3">
      <c r="E6" s="48"/>
    </row>
    <row r="7" spans="3:6" x14ac:dyDescent="0.3">
      <c r="C7" t="s">
        <v>81</v>
      </c>
    </row>
    <row r="8" spans="3:6" x14ac:dyDescent="0.3">
      <c r="C8" t="s">
        <v>82</v>
      </c>
    </row>
    <row r="9" spans="3:6" x14ac:dyDescent="0.3">
      <c r="C9" t="s">
        <v>84</v>
      </c>
    </row>
    <row r="10" spans="3:6" x14ac:dyDescent="0.3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C13" sqref="C13:D14"/>
    </sheetView>
  </sheetViews>
  <sheetFormatPr baseColWidth="10" defaultRowHeight="14.4" x14ac:dyDescent="0.3"/>
  <cols>
    <col min="6" max="6" width="11.77734375" bestFit="1" customWidth="1"/>
    <col min="8" max="8" width="14.77734375" customWidth="1"/>
  </cols>
  <sheetData>
    <row r="3" spans="3:8" x14ac:dyDescent="0.3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 x14ac:dyDescent="0.3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 x14ac:dyDescent="0.3">
      <c r="C5" s="152"/>
      <c r="D5" s="165" t="s">
        <v>13</v>
      </c>
      <c r="E5" s="50"/>
      <c r="F5" s="166">
        <v>2</v>
      </c>
      <c r="G5" s="154"/>
      <c r="H5" s="155"/>
    </row>
    <row r="6" spans="3:8" x14ac:dyDescent="0.3">
      <c r="C6" s="152"/>
      <c r="D6" s="4"/>
      <c r="E6" s="161"/>
      <c r="F6" s="4"/>
      <c r="G6" s="154"/>
      <c r="H6" s="155"/>
    </row>
    <row r="7" spans="3:8" x14ac:dyDescent="0.3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 x14ac:dyDescent="0.3">
      <c r="C8" s="153"/>
      <c r="D8" s="50"/>
      <c r="E8" s="168"/>
      <c r="F8" s="57"/>
      <c r="G8" s="154"/>
      <c r="H8" s="155"/>
    </row>
    <row r="9" spans="3:8" x14ac:dyDescent="0.3">
      <c r="C9" s="300" t="s">
        <v>86</v>
      </c>
      <c r="D9" s="301"/>
      <c r="E9" s="301"/>
      <c r="F9" s="149">
        <f>F7</f>
        <v>51200</v>
      </c>
      <c r="G9" s="154"/>
      <c r="H9" s="155"/>
    </row>
    <row r="10" spans="3:8" x14ac:dyDescent="0.3">
      <c r="C10" s="157"/>
      <c r="D10" s="158"/>
      <c r="E10" s="158"/>
      <c r="F10" s="159"/>
      <c r="G10" s="154"/>
      <c r="H10" s="155"/>
    </row>
    <row r="11" spans="3:8" x14ac:dyDescent="0.3">
      <c r="C11" s="300" t="s">
        <v>87</v>
      </c>
      <c r="D11" s="301"/>
      <c r="E11" s="301"/>
      <c r="F11" s="150">
        <v>50000</v>
      </c>
      <c r="G11" s="154"/>
      <c r="H11" s="155"/>
    </row>
    <row r="12" spans="3:8" x14ac:dyDescent="0.3">
      <c r="C12" s="156"/>
      <c r="D12" s="160"/>
      <c r="E12" s="160"/>
      <c r="F12" s="160"/>
      <c r="G12" s="156"/>
      <c r="H12" s="155"/>
    </row>
    <row r="13" spans="3:8" x14ac:dyDescent="0.3">
      <c r="C13" s="295" t="s">
        <v>88</v>
      </c>
      <c r="D13" s="296"/>
      <c r="E13" s="302">
        <f>F9-F11</f>
        <v>1200</v>
      </c>
      <c r="F13" s="303"/>
      <c r="G13" s="299" t="s">
        <v>89</v>
      </c>
      <c r="H13" s="296"/>
    </row>
    <row r="14" spans="3:8" x14ac:dyDescent="0.3">
      <c r="C14" s="297"/>
      <c r="D14" s="298"/>
      <c r="E14" s="160"/>
      <c r="F14" s="160"/>
      <c r="G14" s="297"/>
      <c r="H14" s="298"/>
    </row>
    <row r="25" spans="6:6" x14ac:dyDescent="0.3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C1" sqref="C1:G14"/>
    </sheetView>
  </sheetViews>
  <sheetFormatPr baseColWidth="10" defaultRowHeight="14.4" x14ac:dyDescent="0.3"/>
  <cols>
    <col min="5" max="5" width="16.88671875" customWidth="1"/>
    <col min="6" max="6" width="16.21875" customWidth="1"/>
    <col min="7" max="7" width="29.21875" customWidth="1"/>
  </cols>
  <sheetData>
    <row r="1" spans="3:7" x14ac:dyDescent="0.3">
      <c r="C1" s="169"/>
      <c r="D1" s="285" t="s">
        <v>90</v>
      </c>
      <c r="E1" s="285"/>
      <c r="F1" s="285"/>
      <c r="G1" s="170"/>
    </row>
    <row r="2" spans="3:7" x14ac:dyDescent="0.3">
      <c r="C2" s="21"/>
      <c r="D2" s="22"/>
      <c r="E2" s="22"/>
      <c r="F2" s="22"/>
      <c r="G2" s="103"/>
    </row>
    <row r="3" spans="3:7" x14ac:dyDescent="0.3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 x14ac:dyDescent="0.3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 x14ac:dyDescent="0.3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 x14ac:dyDescent="0.3">
      <c r="C6" s="110"/>
      <c r="D6" s="34"/>
      <c r="E6" s="38"/>
      <c r="F6" s="38"/>
      <c r="G6" s="108"/>
    </row>
    <row r="7" spans="3:7" x14ac:dyDescent="0.3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 x14ac:dyDescent="0.3">
      <c r="C8" s="107"/>
      <c r="D8" s="22"/>
      <c r="E8" s="22"/>
      <c r="F8" s="22"/>
      <c r="G8" s="103"/>
    </row>
    <row r="9" spans="3:7" x14ac:dyDescent="0.3">
      <c r="D9" s="169"/>
      <c r="E9" s="176"/>
      <c r="F9" s="176"/>
      <c r="G9" s="170"/>
    </row>
    <row r="10" spans="3:7" x14ac:dyDescent="0.3">
      <c r="D10" s="304" t="s">
        <v>86</v>
      </c>
      <c r="E10" s="305"/>
      <c r="F10" s="6">
        <f>E7+F7+G7</f>
        <v>282798.83381924202</v>
      </c>
      <c r="G10" s="85"/>
    </row>
    <row r="11" spans="3:7" x14ac:dyDescent="0.3">
      <c r="D11" s="304" t="s">
        <v>91</v>
      </c>
      <c r="E11" s="305"/>
      <c r="F11" s="6">
        <v>350000</v>
      </c>
      <c r="G11" s="85"/>
    </row>
    <row r="12" spans="3:7" x14ac:dyDescent="0.3">
      <c r="D12" s="304" t="s">
        <v>92</v>
      </c>
      <c r="E12" s="305"/>
      <c r="F12" s="6">
        <f>F10-F11</f>
        <v>-67201.16618075798</v>
      </c>
      <c r="G12" s="306" t="s">
        <v>93</v>
      </c>
    </row>
    <row r="13" spans="3:7" x14ac:dyDescent="0.3">
      <c r="D13" s="171"/>
      <c r="E13" s="4"/>
      <c r="F13" s="4"/>
      <c r="G13" s="306"/>
    </row>
    <row r="14" spans="3:7" x14ac:dyDescent="0.3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workbookViewId="0">
      <selection activeCell="D13" sqref="D13:F13"/>
    </sheetView>
  </sheetViews>
  <sheetFormatPr baseColWidth="10" defaultRowHeight="14.4" x14ac:dyDescent="0.3"/>
  <cols>
    <col min="6" max="6" width="18.109375" customWidth="1"/>
    <col min="7" max="7" width="21.21875" customWidth="1"/>
    <col min="8" max="8" width="35.44140625" customWidth="1"/>
  </cols>
  <sheetData>
    <row r="1" spans="4:10" x14ac:dyDescent="0.3">
      <c r="D1" s="287" t="s">
        <v>90</v>
      </c>
      <c r="E1" s="287"/>
      <c r="F1" s="287"/>
    </row>
    <row r="3" spans="4:10" x14ac:dyDescent="0.3">
      <c r="D3" s="177" t="s">
        <v>33</v>
      </c>
      <c r="E3" s="178" t="s">
        <v>70</v>
      </c>
      <c r="F3" s="185">
        <v>120000</v>
      </c>
      <c r="G3" s="190"/>
      <c r="H3" s="190"/>
    </row>
    <row r="4" spans="4:10" x14ac:dyDescent="0.3">
      <c r="D4" s="179" t="s">
        <v>10</v>
      </c>
      <c r="E4" s="4" t="s">
        <v>12</v>
      </c>
      <c r="F4" s="186">
        <v>0.15</v>
      </c>
      <c r="G4" s="100"/>
      <c r="H4" s="100"/>
    </row>
    <row r="5" spans="4:10" x14ac:dyDescent="0.3">
      <c r="D5" s="180"/>
      <c r="E5" s="165" t="s">
        <v>13</v>
      </c>
      <c r="F5" s="187">
        <v>2</v>
      </c>
      <c r="G5" s="100"/>
      <c r="H5" s="100"/>
    </row>
    <row r="6" spans="4:10" x14ac:dyDescent="0.3">
      <c r="D6" s="180"/>
      <c r="E6" s="198"/>
      <c r="F6" s="199"/>
      <c r="G6" s="99"/>
      <c r="H6" s="100"/>
    </row>
    <row r="7" spans="4:10" x14ac:dyDescent="0.3">
      <c r="D7" s="180"/>
      <c r="E7" s="67" t="s">
        <v>85</v>
      </c>
      <c r="F7" s="188">
        <f>F3/((1+F4)^F5)</f>
        <v>90737.240075614376</v>
      </c>
      <c r="G7" s="182"/>
      <c r="H7" s="100"/>
    </row>
    <row r="8" spans="4:10" x14ac:dyDescent="0.3">
      <c r="D8" s="181"/>
      <c r="E8" s="195"/>
      <c r="F8" s="196"/>
      <c r="G8" s="197"/>
      <c r="H8" s="100"/>
    </row>
    <row r="9" spans="4:10" x14ac:dyDescent="0.3">
      <c r="D9" s="308" t="s">
        <v>86</v>
      </c>
      <c r="E9" s="301"/>
      <c r="F9" s="301"/>
      <c r="G9" s="184">
        <f>F7</f>
        <v>90737.240075614376</v>
      </c>
      <c r="H9" s="100"/>
      <c r="J9" t="s">
        <v>97</v>
      </c>
    </row>
    <row r="10" spans="4:10" x14ac:dyDescent="0.3">
      <c r="D10" s="97"/>
      <c r="E10" s="194"/>
      <c r="F10" s="194"/>
      <c r="G10" s="99"/>
      <c r="H10" s="100"/>
    </row>
    <row r="11" spans="4:10" x14ac:dyDescent="0.3">
      <c r="D11" s="309" t="s">
        <v>87</v>
      </c>
      <c r="E11" s="283"/>
      <c r="F11" s="283"/>
      <c r="G11" s="183">
        <v>95000</v>
      </c>
      <c r="H11" s="100"/>
    </row>
    <row r="12" spans="4:10" x14ac:dyDescent="0.3">
      <c r="D12" s="191"/>
      <c r="E12" s="192"/>
      <c r="F12" s="192"/>
      <c r="G12" s="193"/>
      <c r="H12" s="100"/>
    </row>
    <row r="13" spans="4:10" x14ac:dyDescent="0.3">
      <c r="D13" s="292" t="s">
        <v>92</v>
      </c>
      <c r="E13" s="293"/>
      <c r="F13" s="293"/>
      <c r="G13" s="189">
        <f>G9-G11</f>
        <v>-4262.7599243856239</v>
      </c>
      <c r="H13" s="85" t="s">
        <v>95</v>
      </c>
    </row>
    <row r="14" spans="4:10" x14ac:dyDescent="0.3">
      <c r="D14" s="101"/>
      <c r="E14" s="98"/>
      <c r="F14" s="98"/>
      <c r="G14" s="99"/>
      <c r="H14" s="99"/>
    </row>
    <row r="16" spans="4:10" x14ac:dyDescent="0.3">
      <c r="D16" s="287" t="s">
        <v>77</v>
      </c>
      <c r="E16" s="287"/>
      <c r="F16" s="287"/>
      <c r="G16" t="s">
        <v>98</v>
      </c>
    </row>
    <row r="17" spans="4:8" x14ac:dyDescent="0.3">
      <c r="E17" s="22"/>
      <c r="F17" s="22"/>
      <c r="G17" s="22"/>
      <c r="H17" s="22"/>
    </row>
    <row r="18" spans="4:8" x14ac:dyDescent="0.3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 x14ac:dyDescent="0.3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 x14ac:dyDescent="0.3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 x14ac:dyDescent="0.3">
      <c r="D21" s="124"/>
      <c r="E21" s="34"/>
      <c r="F21" s="38"/>
      <c r="G21" s="38"/>
      <c r="H21" s="108"/>
    </row>
    <row r="22" spans="4:8" x14ac:dyDescent="0.3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 x14ac:dyDescent="0.3">
      <c r="D23" s="126"/>
      <c r="E23" s="43"/>
      <c r="F23" s="43"/>
      <c r="G23" s="43"/>
      <c r="H23" s="44"/>
    </row>
    <row r="24" spans="4:8" x14ac:dyDescent="0.3">
      <c r="D24" s="124"/>
      <c r="E24" s="169"/>
      <c r="F24" s="26"/>
      <c r="G24" s="203"/>
      <c r="H24" s="200"/>
    </row>
    <row r="25" spans="4:8" x14ac:dyDescent="0.3">
      <c r="D25" s="124"/>
      <c r="E25" s="304" t="s">
        <v>86</v>
      </c>
      <c r="F25" s="305"/>
      <c r="G25" s="204">
        <f>F22+G22+H22</f>
        <v>555792.18294460629</v>
      </c>
      <c r="H25" s="201"/>
    </row>
    <row r="26" spans="4:8" x14ac:dyDescent="0.3">
      <c r="D26" s="124"/>
      <c r="E26" s="304" t="s">
        <v>91</v>
      </c>
      <c r="F26" s="307"/>
      <c r="G26" s="204">
        <v>400000</v>
      </c>
      <c r="H26" s="201"/>
    </row>
    <row r="27" spans="4:8" x14ac:dyDescent="0.3">
      <c r="D27" s="124"/>
      <c r="E27" s="304" t="s">
        <v>94</v>
      </c>
      <c r="F27" s="305"/>
      <c r="G27" s="204">
        <f>G25-G26</f>
        <v>155792.18294460629</v>
      </c>
      <c r="H27" s="306" t="s">
        <v>96</v>
      </c>
    </row>
    <row r="28" spans="4:8" x14ac:dyDescent="0.3">
      <c r="D28" s="124"/>
      <c r="E28" s="171"/>
      <c r="F28" s="163"/>
      <c r="G28" s="187"/>
      <c r="H28" s="306"/>
    </row>
    <row r="29" spans="4:8" x14ac:dyDescent="0.3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 x14ac:dyDescent="0.3"/>
  <sheetData>
    <row r="1" spans="3:6" x14ac:dyDescent="0.3">
      <c r="D1" s="287" t="s">
        <v>99</v>
      </c>
      <c r="E1" s="287"/>
      <c r="F1" s="287"/>
    </row>
    <row r="3" spans="3:6" x14ac:dyDescent="0.3">
      <c r="C3" t="s">
        <v>100</v>
      </c>
      <c r="D3" s="205" t="s">
        <v>102</v>
      </c>
    </row>
    <row r="4" spans="3:6" x14ac:dyDescent="0.3">
      <c r="C4" t="s">
        <v>101</v>
      </c>
    </row>
    <row r="6" spans="3:6" x14ac:dyDescent="0.3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 x14ac:dyDescent="0.3"/>
  <cols>
    <col min="5" max="5" width="17.6640625" customWidth="1"/>
    <col min="6" max="6" width="15.21875" bestFit="1" customWidth="1"/>
    <col min="7" max="7" width="16.6640625" customWidth="1"/>
  </cols>
  <sheetData>
    <row r="1" spans="3:7" x14ac:dyDescent="0.3">
      <c r="C1" s="1"/>
      <c r="D1" s="283" t="s">
        <v>22</v>
      </c>
      <c r="E1" s="283"/>
      <c r="F1" s="283"/>
      <c r="G1" s="2"/>
    </row>
    <row r="2" spans="3:7" x14ac:dyDescent="0.3">
      <c r="C2" s="20"/>
      <c r="D2" s="24"/>
      <c r="E2" s="24"/>
      <c r="F2" s="24"/>
      <c r="G2" s="25"/>
    </row>
    <row r="3" spans="3:7" x14ac:dyDescent="0.3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 x14ac:dyDescent="0.3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 x14ac:dyDescent="0.3">
      <c r="C5" s="19"/>
      <c r="D5" s="21" t="s">
        <v>13</v>
      </c>
      <c r="E5" s="28"/>
      <c r="F5" s="22">
        <f>6/3</f>
        <v>2</v>
      </c>
      <c r="G5" s="23" t="s">
        <v>15</v>
      </c>
    </row>
    <row r="6" spans="3:7" x14ac:dyDescent="0.3">
      <c r="C6" s="12"/>
      <c r="D6" s="13"/>
      <c r="E6" s="13"/>
      <c r="F6" s="13"/>
      <c r="G6" s="14"/>
    </row>
    <row r="8" spans="3:7" x14ac:dyDescent="0.3">
      <c r="D8" s="15"/>
      <c r="E8" s="16" t="s">
        <v>16</v>
      </c>
      <c r="F8" s="16" t="s">
        <v>17</v>
      </c>
      <c r="G8" s="17" t="s">
        <v>18</v>
      </c>
    </row>
    <row r="9" spans="3:7" x14ac:dyDescent="0.3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 x14ac:dyDescent="0.3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 x14ac:dyDescent="0.3">
      <c r="D11" s="29" t="s">
        <v>19</v>
      </c>
      <c r="E11" s="30"/>
      <c r="F11" s="31">
        <f>SUM(F9:F10)</f>
        <v>10250</v>
      </c>
      <c r="G11" s="32"/>
    </row>
    <row r="14" spans="3:7" x14ac:dyDescent="0.3">
      <c r="C14" s="284" t="s">
        <v>20</v>
      </c>
      <c r="D14" s="285"/>
      <c r="E14" s="286"/>
      <c r="F14" s="33"/>
    </row>
    <row r="15" spans="3:7" x14ac:dyDescent="0.3">
      <c r="C15" s="42"/>
      <c r="D15" s="43"/>
      <c r="E15" s="44"/>
    </row>
    <row r="16" spans="3:7" x14ac:dyDescent="0.3">
      <c r="C16" s="39" t="s">
        <v>9</v>
      </c>
      <c r="D16" s="34" t="s">
        <v>11</v>
      </c>
      <c r="E16" s="35">
        <f>F3</f>
        <v>100000</v>
      </c>
    </row>
    <row r="17" spans="2:5" x14ac:dyDescent="0.3">
      <c r="C17" s="39" t="s">
        <v>10</v>
      </c>
      <c r="D17" s="21" t="s">
        <v>12</v>
      </c>
      <c r="E17" s="36">
        <f>F4</f>
        <v>0.05</v>
      </c>
    </row>
    <row r="18" spans="2:5" x14ac:dyDescent="0.3">
      <c r="B18" s="4"/>
      <c r="C18" s="45"/>
      <c r="D18" s="34" t="s">
        <v>13</v>
      </c>
      <c r="E18" s="37">
        <f>6/3</f>
        <v>2</v>
      </c>
    </row>
    <row r="19" spans="2:5" x14ac:dyDescent="0.3">
      <c r="B19" s="4"/>
      <c r="C19" s="46"/>
      <c r="D19" s="40"/>
      <c r="E19" s="41"/>
    </row>
    <row r="20" spans="2:5" x14ac:dyDescent="0.3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E23" sqref="E23"/>
    </sheetView>
  </sheetViews>
  <sheetFormatPr baseColWidth="10" defaultRowHeight="14.4" x14ac:dyDescent="0.3"/>
  <cols>
    <col min="5" max="5" width="26.44140625" customWidth="1"/>
  </cols>
  <sheetData>
    <row r="2" spans="3:7" x14ac:dyDescent="0.3">
      <c r="C2" s="288" t="s">
        <v>90</v>
      </c>
      <c r="D2" s="283"/>
      <c r="E2" s="289"/>
    </row>
    <row r="3" spans="3:7" x14ac:dyDescent="0.3">
      <c r="C3" s="82"/>
      <c r="D3" s="83"/>
      <c r="E3" s="84"/>
    </row>
    <row r="4" spans="3:7" x14ac:dyDescent="0.3">
      <c r="C4" s="211" t="s">
        <v>33</v>
      </c>
      <c r="D4" s="207" t="s">
        <v>70</v>
      </c>
      <c r="E4" s="206">
        <v>2000</v>
      </c>
    </row>
    <row r="5" spans="3:7" x14ac:dyDescent="0.3">
      <c r="C5" s="212" t="s">
        <v>9</v>
      </c>
      <c r="D5" s="4" t="s">
        <v>11</v>
      </c>
      <c r="E5" s="208">
        <v>1000</v>
      </c>
    </row>
    <row r="6" spans="3:7" x14ac:dyDescent="0.3">
      <c r="C6" s="212" t="s">
        <v>10</v>
      </c>
      <c r="D6" s="4" t="s">
        <v>12</v>
      </c>
      <c r="E6" s="209">
        <f>0.36/12</f>
        <v>0.03</v>
      </c>
    </row>
    <row r="7" spans="3:7" x14ac:dyDescent="0.3">
      <c r="C7" s="215"/>
      <c r="D7" s="22" t="s">
        <v>13</v>
      </c>
      <c r="E7" s="210" t="s">
        <v>104</v>
      </c>
    </row>
    <row r="8" spans="3:7" x14ac:dyDescent="0.3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 x14ac:dyDescent="0.3">
      <c r="C9" s="216"/>
      <c r="D9" s="83"/>
      <c r="E9" s="84"/>
    </row>
    <row r="12" spans="3:7" x14ac:dyDescent="0.3">
      <c r="C12" s="288" t="s">
        <v>106</v>
      </c>
      <c r="D12" s="283"/>
      <c r="E12" s="289"/>
    </row>
    <row r="13" spans="3:7" x14ac:dyDescent="0.3">
      <c r="C13" s="79"/>
      <c r="D13" s="220"/>
      <c r="E13" s="221"/>
    </row>
    <row r="14" spans="3:7" x14ac:dyDescent="0.3">
      <c r="C14" s="211" t="s">
        <v>33</v>
      </c>
      <c r="D14" s="207" t="s">
        <v>70</v>
      </c>
      <c r="E14" s="206">
        <v>2000</v>
      </c>
    </row>
    <row r="15" spans="3:7" x14ac:dyDescent="0.3">
      <c r="C15" s="212" t="s">
        <v>9</v>
      </c>
      <c r="D15" s="4" t="s">
        <v>11</v>
      </c>
      <c r="E15" s="208">
        <v>1000</v>
      </c>
    </row>
    <row r="16" spans="3:7" x14ac:dyDescent="0.3">
      <c r="C16" s="212" t="s">
        <v>10</v>
      </c>
      <c r="D16" s="4" t="s">
        <v>12</v>
      </c>
      <c r="E16" s="209">
        <f>0.24/12</f>
        <v>0.02</v>
      </c>
    </row>
    <row r="17" spans="3:5" x14ac:dyDescent="0.3">
      <c r="C17" s="218"/>
      <c r="D17" s="22" t="s">
        <v>13</v>
      </c>
      <c r="E17" s="210" t="s">
        <v>104</v>
      </c>
    </row>
    <row r="18" spans="3:5" x14ac:dyDescent="0.3">
      <c r="C18" s="218"/>
      <c r="D18" s="213" t="s">
        <v>102</v>
      </c>
      <c r="E18" s="217">
        <f>(LOG(E14/E15))/(LOG(1+E16))</f>
        <v>35.002788781146499</v>
      </c>
    </row>
    <row r="19" spans="3:5" x14ac:dyDescent="0.3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" workbookViewId="0">
      <selection activeCell="E16" sqref="E16"/>
    </sheetView>
  </sheetViews>
  <sheetFormatPr baseColWidth="10" defaultRowHeight="14.4" x14ac:dyDescent="0.3"/>
  <cols>
    <col min="5" max="5" width="34.109375" customWidth="1"/>
  </cols>
  <sheetData>
    <row r="2" spans="3:5" x14ac:dyDescent="0.3">
      <c r="C2" s="288" t="s">
        <v>90</v>
      </c>
      <c r="D2" s="283"/>
      <c r="E2" s="289"/>
    </row>
    <row r="3" spans="3:5" x14ac:dyDescent="0.3">
      <c r="C3" s="82"/>
      <c r="D3" s="83"/>
      <c r="E3" s="84"/>
    </row>
    <row r="4" spans="3:5" x14ac:dyDescent="0.3">
      <c r="C4" s="211" t="s">
        <v>33</v>
      </c>
      <c r="D4" s="207" t="s">
        <v>70</v>
      </c>
      <c r="E4" s="206">
        <v>1</v>
      </c>
    </row>
    <row r="5" spans="3:5" x14ac:dyDescent="0.3">
      <c r="C5" s="212" t="s">
        <v>9</v>
      </c>
      <c r="D5" s="4" t="s">
        <v>11</v>
      </c>
      <c r="E5" s="222">
        <f>E4*0.5</f>
        <v>0.5</v>
      </c>
    </row>
    <row r="6" spans="3:5" x14ac:dyDescent="0.3">
      <c r="C6" s="212" t="s">
        <v>10</v>
      </c>
      <c r="D6" s="4" t="s">
        <v>12</v>
      </c>
      <c r="E6" s="209">
        <f>E5</f>
        <v>0.5</v>
      </c>
    </row>
    <row r="7" spans="3:5" x14ac:dyDescent="0.3">
      <c r="C7" s="215"/>
      <c r="D7" s="22" t="s">
        <v>13</v>
      </c>
      <c r="E7" s="210" t="s">
        <v>104</v>
      </c>
    </row>
    <row r="8" spans="3:5" x14ac:dyDescent="0.3">
      <c r="C8" s="215"/>
      <c r="D8" s="213" t="s">
        <v>102</v>
      </c>
      <c r="E8" s="214">
        <f>(LOG(E4/E5))/(LOG(1+E6))</f>
        <v>1.7095112913514547</v>
      </c>
    </row>
    <row r="9" spans="3:5" x14ac:dyDescent="0.3">
      <c r="C9" s="216"/>
      <c r="D9" s="83"/>
      <c r="E9" s="84"/>
    </row>
    <row r="12" spans="3:5" x14ac:dyDescent="0.3">
      <c r="C12" s="288" t="s">
        <v>107</v>
      </c>
      <c r="D12" s="283"/>
      <c r="E12" s="289"/>
    </row>
    <row r="13" spans="3:5" x14ac:dyDescent="0.3">
      <c r="C13" s="224"/>
      <c r="D13" s="195"/>
      <c r="E13" s="225"/>
    </row>
    <row r="14" spans="3:5" x14ac:dyDescent="0.3">
      <c r="C14" s="211" t="s">
        <v>33</v>
      </c>
      <c r="D14" s="207" t="s">
        <v>70</v>
      </c>
      <c r="E14" s="206">
        <v>1</v>
      </c>
    </row>
    <row r="15" spans="3:5" x14ac:dyDescent="0.3">
      <c r="C15" s="212" t="s">
        <v>9</v>
      </c>
      <c r="D15" s="4" t="s">
        <v>11</v>
      </c>
      <c r="E15" s="222">
        <f>E14*0.5</f>
        <v>0.5</v>
      </c>
    </row>
    <row r="16" spans="3:5" x14ac:dyDescent="0.3">
      <c r="C16" s="212" t="s">
        <v>10</v>
      </c>
      <c r="D16" s="4" t="s">
        <v>12</v>
      </c>
      <c r="E16" s="223">
        <f>0.3</f>
        <v>0.3</v>
      </c>
    </row>
    <row r="17" spans="3:5" x14ac:dyDescent="0.3">
      <c r="C17" s="226"/>
      <c r="D17" s="22" t="s">
        <v>13</v>
      </c>
      <c r="E17" s="210" t="s">
        <v>104</v>
      </c>
    </row>
    <row r="18" spans="3:5" x14ac:dyDescent="0.3">
      <c r="C18" s="226"/>
      <c r="D18" s="213" t="s">
        <v>102</v>
      </c>
      <c r="E18" s="214">
        <f>(LOG(E14/E15))/(LOG(1+E16))</f>
        <v>2.6419267958111399</v>
      </c>
    </row>
    <row r="19" spans="3:5" x14ac:dyDescent="0.3">
      <c r="C19" s="227"/>
      <c r="D19" s="195"/>
      <c r="E19" s="225"/>
    </row>
    <row r="22" spans="3:5" x14ac:dyDescent="0.3">
      <c r="C22" s="288" t="s">
        <v>108</v>
      </c>
      <c r="D22" s="283"/>
      <c r="E22" s="289"/>
    </row>
    <row r="23" spans="3:5" x14ac:dyDescent="0.3">
      <c r="C23" s="79"/>
      <c r="D23" s="220"/>
      <c r="E23" s="221"/>
    </row>
    <row r="24" spans="3:5" x14ac:dyDescent="0.3">
      <c r="C24" s="211" t="s">
        <v>33</v>
      </c>
      <c r="D24" s="207" t="s">
        <v>70</v>
      </c>
      <c r="E24" s="206">
        <v>1</v>
      </c>
    </row>
    <row r="25" spans="3:5" x14ac:dyDescent="0.3">
      <c r="C25" s="212" t="s">
        <v>9</v>
      </c>
      <c r="D25" s="4" t="s">
        <v>11</v>
      </c>
      <c r="E25" s="222">
        <f>E24*0.5</f>
        <v>0.5</v>
      </c>
    </row>
    <row r="26" spans="3:5" x14ac:dyDescent="0.3">
      <c r="C26" s="212" t="s">
        <v>10</v>
      </c>
      <c r="D26" s="4" t="s">
        <v>12</v>
      </c>
      <c r="E26" s="209">
        <v>1</v>
      </c>
    </row>
    <row r="27" spans="3:5" x14ac:dyDescent="0.3">
      <c r="C27" s="218"/>
      <c r="D27" s="22" t="s">
        <v>13</v>
      </c>
      <c r="E27" s="210" t="s">
        <v>104</v>
      </c>
    </row>
    <row r="28" spans="3:5" x14ac:dyDescent="0.3">
      <c r="C28" s="218"/>
      <c r="D28" s="213" t="s">
        <v>102</v>
      </c>
      <c r="E28" s="214">
        <f>(LOG(E24/E25))/(LOG(1+E26))</f>
        <v>1</v>
      </c>
    </row>
    <row r="29" spans="3:5" x14ac:dyDescent="0.3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workbookViewId="0">
      <selection activeCell="F25" sqref="F25"/>
    </sheetView>
  </sheetViews>
  <sheetFormatPr baseColWidth="10" defaultRowHeight="14.4" x14ac:dyDescent="0.3"/>
  <cols>
    <col min="5" max="5" width="14.21875" customWidth="1"/>
  </cols>
  <sheetData>
    <row r="1" spans="3:5" x14ac:dyDescent="0.3">
      <c r="C1" s="287" t="s">
        <v>109</v>
      </c>
      <c r="D1" s="287"/>
      <c r="E1" s="287"/>
    </row>
    <row r="2" spans="3:5" x14ac:dyDescent="0.3">
      <c r="C2" s="288" t="s">
        <v>90</v>
      </c>
      <c r="D2" s="283"/>
      <c r="E2" s="289"/>
    </row>
    <row r="3" spans="3:5" x14ac:dyDescent="0.3">
      <c r="C3" s="224"/>
      <c r="D3" s="195"/>
      <c r="E3" s="225"/>
    </row>
    <row r="4" spans="3:5" x14ac:dyDescent="0.3">
      <c r="C4" s="211" t="s">
        <v>33</v>
      </c>
      <c r="D4" s="207" t="s">
        <v>70</v>
      </c>
      <c r="E4" s="206">
        <v>3000</v>
      </c>
    </row>
    <row r="5" spans="3:5" x14ac:dyDescent="0.3">
      <c r="C5" s="212" t="s">
        <v>9</v>
      </c>
      <c r="D5" s="4" t="s">
        <v>11</v>
      </c>
      <c r="E5" s="208">
        <v>1000</v>
      </c>
    </row>
    <row r="6" spans="3:5" x14ac:dyDescent="0.3">
      <c r="C6" s="212" t="s">
        <v>10</v>
      </c>
      <c r="D6" s="4" t="s">
        <v>12</v>
      </c>
      <c r="E6" s="209">
        <f>0.12/12</f>
        <v>0.01</v>
      </c>
    </row>
    <row r="7" spans="3:5" x14ac:dyDescent="0.3">
      <c r="C7" s="226"/>
      <c r="D7" s="22" t="s">
        <v>13</v>
      </c>
      <c r="E7" s="210" t="s">
        <v>104</v>
      </c>
    </row>
    <row r="8" spans="3:5" x14ac:dyDescent="0.3">
      <c r="C8" s="226"/>
      <c r="D8" s="213" t="s">
        <v>102</v>
      </c>
      <c r="E8" s="217">
        <f>(LOG(E4/E5))/(LOG(1+E6))</f>
        <v>110.40962404966885</v>
      </c>
    </row>
    <row r="9" spans="3:5" x14ac:dyDescent="0.3">
      <c r="C9" s="227"/>
      <c r="D9" s="195"/>
      <c r="E9" s="225"/>
    </row>
    <row r="13" spans="3:5" x14ac:dyDescent="0.3">
      <c r="C13" s="288" t="s">
        <v>107</v>
      </c>
      <c r="D13" s="283"/>
      <c r="E13" s="289"/>
    </row>
    <row r="14" spans="3:5" x14ac:dyDescent="0.3">
      <c r="C14" s="228"/>
      <c r="D14" s="229"/>
      <c r="E14" s="230"/>
    </row>
    <row r="15" spans="3:5" x14ac:dyDescent="0.3">
      <c r="C15" s="211" t="s">
        <v>33</v>
      </c>
      <c r="D15" s="207" t="s">
        <v>70</v>
      </c>
      <c r="E15" s="206">
        <v>3000</v>
      </c>
    </row>
    <row r="16" spans="3:5" x14ac:dyDescent="0.3">
      <c r="C16" s="212" t="s">
        <v>9</v>
      </c>
      <c r="D16" s="4" t="s">
        <v>11</v>
      </c>
      <c r="E16" s="208">
        <v>1000</v>
      </c>
    </row>
    <row r="17" spans="3:5" x14ac:dyDescent="0.3">
      <c r="C17" s="212" t="s">
        <v>10</v>
      </c>
      <c r="D17" s="4" t="s">
        <v>12</v>
      </c>
      <c r="E17" s="209">
        <f>0.8/12</f>
        <v>6.6666666666666666E-2</v>
      </c>
    </row>
    <row r="18" spans="3:5" x14ac:dyDescent="0.3">
      <c r="C18" s="231"/>
      <c r="D18" s="22" t="s">
        <v>13</v>
      </c>
      <c r="E18" s="210" t="s">
        <v>104</v>
      </c>
    </row>
    <row r="19" spans="3:5" x14ac:dyDescent="0.3">
      <c r="C19" s="231"/>
      <c r="D19" s="213" t="s">
        <v>102</v>
      </c>
      <c r="E19" s="217">
        <f>(LOG(E15/E16))/(LOG(1+E17))</f>
        <v>17.022582316788654</v>
      </c>
    </row>
    <row r="20" spans="3:5" x14ac:dyDescent="0.3">
      <c r="C20" s="232"/>
      <c r="D20" s="229"/>
      <c r="E20" s="230"/>
    </row>
    <row r="23" spans="3:5" x14ac:dyDescent="0.3">
      <c r="C23" s="288" t="s">
        <v>108</v>
      </c>
      <c r="D23" s="283"/>
      <c r="E23" s="289"/>
    </row>
    <row r="24" spans="3:5" x14ac:dyDescent="0.3">
      <c r="C24" s="82"/>
      <c r="D24" s="83"/>
      <c r="E24" s="84"/>
    </row>
    <row r="25" spans="3:5" x14ac:dyDescent="0.3">
      <c r="C25" s="211" t="s">
        <v>33</v>
      </c>
      <c r="D25" s="207" t="s">
        <v>70</v>
      </c>
      <c r="E25" s="206">
        <v>1</v>
      </c>
    </row>
    <row r="26" spans="3:5" x14ac:dyDescent="0.3">
      <c r="C26" s="212" t="s">
        <v>9</v>
      </c>
      <c r="D26" s="4" t="s">
        <v>11</v>
      </c>
      <c r="E26" s="222">
        <f>E25*0.6</f>
        <v>0.6</v>
      </c>
    </row>
    <row r="27" spans="3:5" x14ac:dyDescent="0.3">
      <c r="C27" s="212" t="s">
        <v>10</v>
      </c>
      <c r="D27" s="4" t="s">
        <v>12</v>
      </c>
      <c r="E27" s="209">
        <f>E26</f>
        <v>0.6</v>
      </c>
    </row>
    <row r="28" spans="3:5" x14ac:dyDescent="0.3">
      <c r="C28" s="215"/>
      <c r="D28" s="22" t="s">
        <v>13</v>
      </c>
      <c r="E28" s="210" t="s">
        <v>104</v>
      </c>
    </row>
    <row r="29" spans="3:5" x14ac:dyDescent="0.3">
      <c r="C29" s="215"/>
      <c r="D29" s="213" t="s">
        <v>102</v>
      </c>
      <c r="E29" s="214">
        <f>(LOG(E25/E26))/(LOG(1+E27))</f>
        <v>1.086854636815819</v>
      </c>
    </row>
    <row r="30" spans="3:5" x14ac:dyDescent="0.3">
      <c r="C30" s="216"/>
      <c r="D30" s="83"/>
      <c r="E30" s="84"/>
    </row>
    <row r="32" spans="3:5" x14ac:dyDescent="0.3">
      <c r="C32" s="288" t="s">
        <v>110</v>
      </c>
      <c r="D32" s="283"/>
      <c r="E32" s="289"/>
    </row>
    <row r="33" spans="3:5" x14ac:dyDescent="0.3">
      <c r="C33" s="12"/>
      <c r="D33" s="13"/>
      <c r="E33" s="14"/>
    </row>
    <row r="34" spans="3:5" x14ac:dyDescent="0.3">
      <c r="C34" s="211" t="s">
        <v>33</v>
      </c>
      <c r="D34" s="207" t="s">
        <v>70</v>
      </c>
      <c r="E34" s="206">
        <v>1</v>
      </c>
    </row>
    <row r="35" spans="3:5" x14ac:dyDescent="0.3">
      <c r="C35" s="212" t="s">
        <v>9</v>
      </c>
      <c r="D35" s="4" t="s">
        <v>11</v>
      </c>
      <c r="E35" s="222">
        <f>E34*0.6</f>
        <v>0.6</v>
      </c>
    </row>
    <row r="36" spans="3:5" x14ac:dyDescent="0.3">
      <c r="C36" s="212" t="s">
        <v>10</v>
      </c>
      <c r="D36" s="4" t="s">
        <v>12</v>
      </c>
      <c r="E36" s="209">
        <f>30%</f>
        <v>0.3</v>
      </c>
    </row>
    <row r="37" spans="3:5" x14ac:dyDescent="0.3">
      <c r="C37" s="233"/>
      <c r="D37" s="22" t="s">
        <v>13</v>
      </c>
      <c r="E37" s="210" t="s">
        <v>104</v>
      </c>
    </row>
    <row r="38" spans="3:5" x14ac:dyDescent="0.3">
      <c r="C38" s="233"/>
      <c r="D38" s="213" t="s">
        <v>102</v>
      </c>
      <c r="E38" s="214">
        <f>(LOG(E34/E35))/(LOG(1+E36))</f>
        <v>1.9470091508185783</v>
      </c>
    </row>
    <row r="39" spans="3:5" x14ac:dyDescent="0.3">
      <c r="C39" s="234"/>
      <c r="D39" s="13"/>
      <c r="E39" s="14"/>
    </row>
    <row r="42" spans="3:5" x14ac:dyDescent="0.3">
      <c r="C42" s="288" t="s">
        <v>111</v>
      </c>
      <c r="D42" s="283"/>
      <c r="E42" s="289"/>
    </row>
    <row r="43" spans="3:5" x14ac:dyDescent="0.3">
      <c r="C43" s="235"/>
      <c r="D43" s="236"/>
      <c r="E43" s="237"/>
    </row>
    <row r="44" spans="3:5" x14ac:dyDescent="0.3">
      <c r="C44" s="211" t="s">
        <v>33</v>
      </c>
      <c r="D44" s="207" t="s">
        <v>70</v>
      </c>
      <c r="E44" s="206">
        <v>1</v>
      </c>
    </row>
    <row r="45" spans="3:5" x14ac:dyDescent="0.3">
      <c r="C45" s="212" t="s">
        <v>9</v>
      </c>
      <c r="D45" s="4" t="s">
        <v>11</v>
      </c>
      <c r="E45" s="222">
        <f>E44*0.6</f>
        <v>0.6</v>
      </c>
    </row>
    <row r="46" spans="3:5" x14ac:dyDescent="0.3">
      <c r="C46" s="212" t="s">
        <v>10</v>
      </c>
      <c r="D46" s="4" t="s">
        <v>12</v>
      </c>
      <c r="E46" s="209">
        <f>30%</f>
        <v>0.3</v>
      </c>
    </row>
    <row r="47" spans="3:5" x14ac:dyDescent="0.3">
      <c r="C47" s="238"/>
      <c r="D47" s="22" t="s">
        <v>13</v>
      </c>
      <c r="E47" s="210" t="s">
        <v>104</v>
      </c>
    </row>
    <row r="48" spans="3:5" x14ac:dyDescent="0.3">
      <c r="C48" s="238"/>
      <c r="D48" s="213" t="s">
        <v>102</v>
      </c>
      <c r="E48" s="214">
        <f>(LOG(E44/E45))/(LOG(1+E46))</f>
        <v>1.9470091508185783</v>
      </c>
    </row>
    <row r="49" spans="3:5" x14ac:dyDescent="0.3">
      <c r="C49" s="239"/>
      <c r="D49" s="236"/>
      <c r="E49" s="237"/>
    </row>
    <row r="52" spans="3:5" x14ac:dyDescent="0.3">
      <c r="C52" s="288" t="s">
        <v>112</v>
      </c>
      <c r="D52" s="283"/>
      <c r="E52" s="289"/>
    </row>
    <row r="53" spans="3:5" x14ac:dyDescent="0.3">
      <c r="C53" s="242"/>
      <c r="D53" s="243"/>
      <c r="E53" s="244"/>
    </row>
    <row r="54" spans="3:5" x14ac:dyDescent="0.3">
      <c r="C54" s="211" t="s">
        <v>33</v>
      </c>
      <c r="D54" s="207" t="s">
        <v>70</v>
      </c>
      <c r="E54" s="206">
        <v>1</v>
      </c>
    </row>
    <row r="55" spans="3:5" x14ac:dyDescent="0.3">
      <c r="C55" s="212" t="s">
        <v>9</v>
      </c>
      <c r="D55" s="4" t="s">
        <v>11</v>
      </c>
      <c r="E55" s="222">
        <f>E54*0.6</f>
        <v>0.6</v>
      </c>
    </row>
    <row r="56" spans="3:5" x14ac:dyDescent="0.3">
      <c r="C56" s="212" t="s">
        <v>10</v>
      </c>
      <c r="D56" s="4" t="s">
        <v>12</v>
      </c>
      <c r="E56" s="209">
        <f>10%</f>
        <v>0.1</v>
      </c>
    </row>
    <row r="57" spans="3:5" x14ac:dyDescent="0.3">
      <c r="C57" s="240"/>
      <c r="D57" s="22" t="s">
        <v>13</v>
      </c>
      <c r="E57" s="210" t="s">
        <v>104</v>
      </c>
    </row>
    <row r="58" spans="3:5" x14ac:dyDescent="0.3">
      <c r="C58" s="240"/>
      <c r="D58" s="213" t="s">
        <v>102</v>
      </c>
      <c r="E58" s="214">
        <f>(LOG(E54/E55))/(LOG(1+E56))</f>
        <v>5.3596124235074702</v>
      </c>
    </row>
    <row r="59" spans="3:5" x14ac:dyDescent="0.3">
      <c r="C59" s="241"/>
      <c r="D59" s="243"/>
      <c r="E59" s="244"/>
    </row>
    <row r="62" spans="3:5" x14ac:dyDescent="0.3">
      <c r="C62" s="288" t="s">
        <v>113</v>
      </c>
      <c r="D62" s="283"/>
      <c r="E62" s="289"/>
    </row>
    <row r="63" spans="3:5" x14ac:dyDescent="0.3">
      <c r="C63" s="245"/>
      <c r="D63" s="246"/>
      <c r="E63" s="247"/>
    </row>
    <row r="64" spans="3:5" x14ac:dyDescent="0.3">
      <c r="C64" s="211" t="s">
        <v>33</v>
      </c>
      <c r="D64" s="207" t="s">
        <v>70</v>
      </c>
      <c r="E64" s="206">
        <v>1</v>
      </c>
    </row>
    <row r="65" spans="3:5" x14ac:dyDescent="0.3">
      <c r="C65" s="212" t="s">
        <v>9</v>
      </c>
      <c r="D65" s="4" t="s">
        <v>11</v>
      </c>
      <c r="E65" s="222">
        <f>E64*0.6</f>
        <v>0.6</v>
      </c>
    </row>
    <row r="66" spans="3:5" x14ac:dyDescent="0.3">
      <c r="C66" s="212" t="s">
        <v>10</v>
      </c>
      <c r="D66" s="4" t="s">
        <v>12</v>
      </c>
      <c r="E66" s="209">
        <f>12%</f>
        <v>0.12</v>
      </c>
    </row>
    <row r="67" spans="3:5" x14ac:dyDescent="0.3">
      <c r="C67" s="248"/>
      <c r="D67" s="22" t="s">
        <v>13</v>
      </c>
      <c r="E67" s="210" t="s">
        <v>104</v>
      </c>
    </row>
    <row r="68" spans="3:5" x14ac:dyDescent="0.3">
      <c r="C68" s="248"/>
      <c r="D68" s="213" t="s">
        <v>102</v>
      </c>
      <c r="E68" s="214">
        <f>(LOG(E64/E65))/(LOG(1+E66))</f>
        <v>4.5074697759193336</v>
      </c>
    </row>
    <row r="69" spans="3:5" x14ac:dyDescent="0.3">
      <c r="C69" s="249"/>
      <c r="D69" s="246"/>
      <c r="E69" s="247"/>
    </row>
    <row r="72" spans="3:5" x14ac:dyDescent="0.3">
      <c r="C72" s="288" t="s">
        <v>114</v>
      </c>
      <c r="D72" s="283"/>
      <c r="E72" s="289"/>
    </row>
    <row r="73" spans="3:5" x14ac:dyDescent="0.3">
      <c r="C73" s="250"/>
      <c r="D73" s="251"/>
      <c r="E73" s="252"/>
    </row>
    <row r="74" spans="3:5" x14ac:dyDescent="0.3">
      <c r="C74" s="211" t="s">
        <v>33</v>
      </c>
      <c r="D74" s="207" t="s">
        <v>70</v>
      </c>
      <c r="E74" s="206">
        <v>1</v>
      </c>
    </row>
    <row r="75" spans="3:5" x14ac:dyDescent="0.3">
      <c r="C75" s="212" t="s">
        <v>9</v>
      </c>
      <c r="D75" s="4" t="s">
        <v>11</v>
      </c>
      <c r="E75" s="222">
        <f>E74*0.6</f>
        <v>0.6</v>
      </c>
    </row>
    <row r="76" spans="3:5" x14ac:dyDescent="0.3">
      <c r="C76" s="212" t="s">
        <v>10</v>
      </c>
      <c r="D76" s="4" t="s">
        <v>12</v>
      </c>
      <c r="E76" s="209">
        <f>15%</f>
        <v>0.15</v>
      </c>
    </row>
    <row r="77" spans="3:5" x14ac:dyDescent="0.3">
      <c r="C77" s="253"/>
      <c r="D77" s="22" t="s">
        <v>13</v>
      </c>
      <c r="E77" s="210" t="s">
        <v>104</v>
      </c>
    </row>
    <row r="78" spans="3:5" x14ac:dyDescent="0.3">
      <c r="C78" s="253"/>
      <c r="D78" s="213" t="s">
        <v>102</v>
      </c>
      <c r="E78" s="214">
        <f>(LOG(E74/E75))/(LOG(1+E76))</f>
        <v>3.6549694078721191</v>
      </c>
    </row>
    <row r="79" spans="3:5" x14ac:dyDescent="0.3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 x14ac:dyDescent="0.3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 x14ac:dyDescent="0.3">
      <c r="C1" s="300" t="s">
        <v>115</v>
      </c>
      <c r="D1" s="301"/>
      <c r="E1" s="301"/>
      <c r="F1" s="301"/>
      <c r="G1" s="301"/>
      <c r="H1" s="310"/>
    </row>
    <row r="2" spans="3:8" x14ac:dyDescent="0.3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 x14ac:dyDescent="0.3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 x14ac:dyDescent="0.3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 x14ac:dyDescent="0.3">
      <c r="C5" s="269"/>
      <c r="D5" s="4" t="s">
        <v>119</v>
      </c>
      <c r="E5" s="5" t="s">
        <v>104</v>
      </c>
      <c r="F5" s="269"/>
      <c r="G5" s="269"/>
      <c r="H5" s="265"/>
    </row>
    <row r="6" spans="3:8" x14ac:dyDescent="0.3">
      <c r="C6" s="270"/>
      <c r="D6" s="311" t="s">
        <v>116</v>
      </c>
      <c r="E6" s="312"/>
      <c r="F6" s="262" t="s">
        <v>117</v>
      </c>
      <c r="G6" s="262" t="s">
        <v>15</v>
      </c>
      <c r="H6" s="5" t="s">
        <v>118</v>
      </c>
    </row>
    <row r="7" spans="3:8" x14ac:dyDescent="0.3">
      <c r="C7" s="266"/>
      <c r="D7" s="267"/>
      <c r="E7" s="268"/>
      <c r="F7" s="270"/>
      <c r="G7" s="270"/>
      <c r="H7" s="268"/>
    </row>
    <row r="8" spans="3:8" x14ac:dyDescent="0.3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 x14ac:dyDescent="0.3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topLeftCell="A37" zoomScale="85" zoomScaleNormal="85" workbookViewId="0">
      <selection activeCell="E66" sqref="E66"/>
    </sheetView>
  </sheetViews>
  <sheetFormatPr baseColWidth="10" defaultRowHeight="14.4" x14ac:dyDescent="0.3"/>
  <cols>
    <col min="5" max="5" width="19.77734375" customWidth="1"/>
    <col min="6" max="6" width="14.33203125" customWidth="1"/>
    <col min="8" max="8" width="13.44140625" customWidth="1"/>
  </cols>
  <sheetData>
    <row r="24" spans="3:8" x14ac:dyDescent="0.3">
      <c r="C24" s="287" t="s">
        <v>120</v>
      </c>
      <c r="D24" s="287"/>
      <c r="E24" s="287"/>
      <c r="F24" s="287"/>
    </row>
    <row r="26" spans="3:8" x14ac:dyDescent="0.3">
      <c r="C26" s="287"/>
      <c r="D26" s="287"/>
      <c r="E26" s="287"/>
      <c r="F26" s="287"/>
    </row>
    <row r="27" spans="3:8" x14ac:dyDescent="0.3">
      <c r="C27" s="147" t="s">
        <v>33</v>
      </c>
      <c r="D27" s="4" t="s">
        <v>70</v>
      </c>
      <c r="E27" s="48">
        <v>60000</v>
      </c>
    </row>
    <row r="28" spans="3:8" x14ac:dyDescent="0.3">
      <c r="C28" s="262" t="s">
        <v>9</v>
      </c>
      <c r="D28" s="4" t="s">
        <v>11</v>
      </c>
      <c r="E28" s="48">
        <v>10000</v>
      </c>
    </row>
    <row r="29" spans="3:8" x14ac:dyDescent="0.3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 x14ac:dyDescent="0.3">
      <c r="C30" s="269"/>
      <c r="D30" s="4" t="s">
        <v>119</v>
      </c>
      <c r="E30" t="s">
        <v>104</v>
      </c>
    </row>
    <row r="31" spans="3:8" x14ac:dyDescent="0.3">
      <c r="C31" s="270"/>
      <c r="D31" s="311" t="s">
        <v>116</v>
      </c>
      <c r="E31" s="313"/>
      <c r="F31" s="262" t="s">
        <v>117</v>
      </c>
      <c r="G31" s="262" t="s">
        <v>15</v>
      </c>
      <c r="H31" s="5" t="s">
        <v>126</v>
      </c>
    </row>
    <row r="33" spans="4:8" x14ac:dyDescent="0.3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 x14ac:dyDescent="0.3">
      <c r="D36" s="287"/>
      <c r="E36" s="287"/>
      <c r="F36" s="287"/>
    </row>
    <row r="59" spans="3:8" x14ac:dyDescent="0.3">
      <c r="C59" s="300" t="s">
        <v>115</v>
      </c>
      <c r="D59" s="301"/>
      <c r="E59" s="301"/>
      <c r="F59" s="301"/>
      <c r="G59" s="301"/>
      <c r="H59" s="310"/>
    </row>
    <row r="60" spans="3:8" x14ac:dyDescent="0.3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 x14ac:dyDescent="0.3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 x14ac:dyDescent="0.3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 x14ac:dyDescent="0.3">
      <c r="C63" s="269"/>
      <c r="D63" s="4" t="s">
        <v>119</v>
      </c>
      <c r="E63" s="5" t="s">
        <v>104</v>
      </c>
      <c r="F63" s="269"/>
      <c r="G63" s="269"/>
      <c r="H63" s="265"/>
    </row>
    <row r="64" spans="3:8" x14ac:dyDescent="0.3">
      <c r="C64" s="270"/>
      <c r="D64" s="311" t="s">
        <v>116</v>
      </c>
      <c r="E64" s="312"/>
      <c r="F64" s="262" t="s">
        <v>117</v>
      </c>
      <c r="G64" s="262" t="s">
        <v>125</v>
      </c>
      <c r="H64" s="5" t="s">
        <v>15</v>
      </c>
    </row>
    <row r="65" spans="3:8" x14ac:dyDescent="0.3">
      <c r="C65" s="266"/>
      <c r="D65" s="267"/>
      <c r="E65" s="268"/>
      <c r="F65" s="270"/>
      <c r="G65" s="270"/>
      <c r="H65" s="268"/>
    </row>
    <row r="66" spans="3:8" x14ac:dyDescent="0.3">
      <c r="C66" s="8"/>
      <c r="D66" s="50" t="s">
        <v>12</v>
      </c>
      <c r="E66" s="259">
        <f>RATE(E62,,-E61,E60)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 x14ac:dyDescent="0.3"/>
  <cols>
    <col min="11" max="11" width="15.6640625" bestFit="1" customWidth="1"/>
    <col min="12" max="12" width="18" customWidth="1"/>
  </cols>
  <sheetData>
    <row r="1" spans="3:12" x14ac:dyDescent="0.3">
      <c r="C1" s="287" t="s">
        <v>121</v>
      </c>
      <c r="D1" s="287"/>
      <c r="E1" s="287"/>
      <c r="F1" s="287"/>
      <c r="G1" s="287"/>
      <c r="H1" s="287"/>
      <c r="I1" s="287"/>
      <c r="J1" s="287"/>
      <c r="K1" s="287"/>
    </row>
    <row r="3" spans="3:12" x14ac:dyDescent="0.3">
      <c r="C3" t="s">
        <v>122</v>
      </c>
    </row>
    <row r="6" spans="3:12" x14ac:dyDescent="0.3">
      <c r="I6" s="287" t="s">
        <v>57</v>
      </c>
      <c r="J6" s="287"/>
      <c r="K6" s="287"/>
    </row>
    <row r="7" spans="3:12" x14ac:dyDescent="0.3">
      <c r="I7" t="s">
        <v>123</v>
      </c>
      <c r="J7" t="s">
        <v>124</v>
      </c>
      <c r="K7" s="271">
        <v>100000</v>
      </c>
    </row>
    <row r="8" spans="3:12" x14ac:dyDescent="0.3">
      <c r="I8" t="s">
        <v>32</v>
      </c>
      <c r="J8" t="s">
        <v>12</v>
      </c>
      <c r="K8" s="272">
        <f>36%/12</f>
        <v>0.03</v>
      </c>
    </row>
    <row r="9" spans="3:12" x14ac:dyDescent="0.3">
      <c r="J9" t="s">
        <v>13</v>
      </c>
      <c r="K9">
        <v>6</v>
      </c>
    </row>
    <row r="11" spans="3:12" x14ac:dyDescent="0.3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topLeftCell="A16" zoomScale="102" zoomScaleNormal="102" workbookViewId="0">
      <selection activeCell="D38" sqref="D38"/>
    </sheetView>
  </sheetViews>
  <sheetFormatPr baseColWidth="10" defaultRowHeight="14.4" x14ac:dyDescent="0.3"/>
  <cols>
    <col min="4" max="4" width="18.109375" customWidth="1"/>
    <col min="5" max="5" width="16.109375" customWidth="1"/>
  </cols>
  <sheetData>
    <row r="1" spans="2:5" x14ac:dyDescent="0.3">
      <c r="C1" s="287" t="s">
        <v>127</v>
      </c>
      <c r="D1" s="287"/>
      <c r="E1" s="287"/>
    </row>
    <row r="12" spans="2:5" x14ac:dyDescent="0.3">
      <c r="B12" s="52"/>
      <c r="C12" s="301" t="s">
        <v>128</v>
      </c>
      <c r="D12" s="301"/>
      <c r="E12" s="260"/>
    </row>
    <row r="13" spans="2:5" x14ac:dyDescent="0.3">
      <c r="B13" s="147" t="s">
        <v>123</v>
      </c>
      <c r="C13" s="4" t="s">
        <v>124</v>
      </c>
      <c r="D13" s="274">
        <v>15000</v>
      </c>
      <c r="E13" s="5"/>
    </row>
    <row r="14" spans="2:5" x14ac:dyDescent="0.3">
      <c r="B14" s="148" t="s">
        <v>32</v>
      </c>
      <c r="C14" s="4" t="s">
        <v>12</v>
      </c>
      <c r="D14" s="275">
        <f>24%/12</f>
        <v>0.02</v>
      </c>
      <c r="E14" s="5"/>
    </row>
    <row r="15" spans="2:5" x14ac:dyDescent="0.3">
      <c r="B15" s="262"/>
      <c r="C15" s="4" t="s">
        <v>13</v>
      </c>
      <c r="D15" s="5">
        <v>9</v>
      </c>
      <c r="E15" s="5"/>
    </row>
    <row r="16" spans="2:5" x14ac:dyDescent="0.3">
      <c r="B16" s="262"/>
      <c r="C16" s="4"/>
      <c r="D16" s="5"/>
      <c r="E16" s="5"/>
    </row>
    <row r="17" spans="2:5" x14ac:dyDescent="0.3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 x14ac:dyDescent="0.3">
      <c r="B36" s="52"/>
      <c r="C36" s="301" t="s">
        <v>107</v>
      </c>
      <c r="D36" s="301"/>
      <c r="E36" s="260"/>
    </row>
    <row r="37" spans="2:5" x14ac:dyDescent="0.3">
      <c r="B37" s="147" t="s">
        <v>123</v>
      </c>
      <c r="C37" s="4" t="s">
        <v>124</v>
      </c>
      <c r="D37" s="274">
        <v>8000</v>
      </c>
      <c r="E37" s="5"/>
    </row>
    <row r="38" spans="2:5" x14ac:dyDescent="0.3">
      <c r="B38" s="148" t="s">
        <v>32</v>
      </c>
      <c r="C38" s="4" t="s">
        <v>12</v>
      </c>
      <c r="D38" s="275">
        <f>12%/12</f>
        <v>0.01</v>
      </c>
      <c r="E38" s="5"/>
    </row>
    <row r="39" spans="2:5" x14ac:dyDescent="0.3">
      <c r="B39" s="262"/>
      <c r="C39" s="4" t="s">
        <v>13</v>
      </c>
      <c r="D39" s="5">
        <v>12</v>
      </c>
      <c r="E39" s="5"/>
    </row>
    <row r="40" spans="2:5" x14ac:dyDescent="0.3">
      <c r="B40" s="262"/>
      <c r="C40" s="4"/>
      <c r="D40" s="5"/>
      <c r="E40" s="5"/>
    </row>
    <row r="41" spans="2:5" x14ac:dyDescent="0.3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topLeftCell="A41" zoomScale="115" zoomScaleNormal="115" workbookViewId="0">
      <selection activeCell="D28" sqref="D28"/>
    </sheetView>
  </sheetViews>
  <sheetFormatPr baseColWidth="10" defaultRowHeight="14.4" x14ac:dyDescent="0.3"/>
  <cols>
    <col min="3" max="3" width="20.44140625" customWidth="1"/>
    <col min="4" max="4" width="17.44140625" customWidth="1"/>
    <col min="5" max="5" width="23" customWidth="1"/>
    <col min="6" max="6" width="25.77734375" customWidth="1"/>
    <col min="7" max="7" width="29.77734375" customWidth="1"/>
  </cols>
  <sheetData>
    <row r="1" spans="2:7" x14ac:dyDescent="0.3">
      <c r="B1" s="287" t="s">
        <v>129</v>
      </c>
      <c r="C1" s="287"/>
      <c r="D1" s="287"/>
      <c r="E1" s="287"/>
      <c r="F1" s="287"/>
      <c r="G1" s="287"/>
    </row>
    <row r="4" spans="2:7" x14ac:dyDescent="0.3">
      <c r="B4" s="284" t="s">
        <v>120</v>
      </c>
      <c r="C4" s="285"/>
      <c r="D4" s="286"/>
    </row>
    <row r="5" spans="2:7" x14ac:dyDescent="0.3">
      <c r="B5" s="276"/>
      <c r="C5" s="43"/>
      <c r="D5" s="44"/>
    </row>
    <row r="6" spans="2:7" x14ac:dyDescent="0.3">
      <c r="B6" s="86" t="s">
        <v>11</v>
      </c>
      <c r="C6" s="89">
        <v>15000</v>
      </c>
      <c r="D6" s="85"/>
    </row>
    <row r="7" spans="2:7" x14ac:dyDescent="0.3">
      <c r="B7" s="34" t="s">
        <v>12</v>
      </c>
      <c r="C7" s="280">
        <f>18%/3</f>
        <v>0.06</v>
      </c>
      <c r="D7" s="88">
        <v>0.18</v>
      </c>
    </row>
    <row r="8" spans="2:7" x14ac:dyDescent="0.3">
      <c r="B8" s="92" t="s">
        <v>13</v>
      </c>
      <c r="C8" s="90">
        <f>9/4</f>
        <v>2.25</v>
      </c>
      <c r="D8" s="201"/>
    </row>
    <row r="9" spans="2:7" x14ac:dyDescent="0.3">
      <c r="B9" s="42"/>
      <c r="C9" s="44"/>
      <c r="D9" s="201"/>
    </row>
    <row r="10" spans="2:7" x14ac:dyDescent="0.3">
      <c r="B10" s="21" t="s">
        <v>49</v>
      </c>
      <c r="C10" s="91">
        <f>FV(C7,C8,,-C6)</f>
        <v>17101.313003326584</v>
      </c>
      <c r="D10" s="44"/>
    </row>
    <row r="13" spans="2:7" x14ac:dyDescent="0.3">
      <c r="B13" s="292" t="s">
        <v>50</v>
      </c>
      <c r="C13" s="293"/>
      <c r="D13" s="293"/>
      <c r="E13" s="293"/>
      <c r="F13" s="294"/>
    </row>
    <row r="14" spans="2:7" x14ac:dyDescent="0.3">
      <c r="B14" s="135"/>
      <c r="C14" s="136"/>
      <c r="D14" s="137"/>
      <c r="E14" s="130"/>
      <c r="F14" s="131"/>
    </row>
    <row r="15" spans="2:7" x14ac:dyDescent="0.3">
      <c r="B15" s="142" t="s">
        <v>76</v>
      </c>
      <c r="C15" s="141"/>
      <c r="D15" s="118">
        <v>600000</v>
      </c>
      <c r="E15" s="130"/>
      <c r="F15" s="132"/>
    </row>
    <row r="16" spans="2:7" x14ac:dyDescent="0.3">
      <c r="B16" s="142" t="s">
        <v>75</v>
      </c>
      <c r="C16" s="141"/>
      <c r="D16" s="118">
        <f>D15*0.3</f>
        <v>180000</v>
      </c>
      <c r="E16" s="130"/>
      <c r="F16" s="132"/>
    </row>
    <row r="17" spans="2:6" x14ac:dyDescent="0.3">
      <c r="B17" s="107" t="s">
        <v>33</v>
      </c>
      <c r="C17" s="21" t="s">
        <v>70</v>
      </c>
      <c r="D17" s="118">
        <f>D15-D16</f>
        <v>420000</v>
      </c>
      <c r="E17" s="130" t="s">
        <v>72</v>
      </c>
      <c r="F17" s="132"/>
    </row>
    <row r="18" spans="2:6" x14ac:dyDescent="0.3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 x14ac:dyDescent="0.3">
      <c r="B19" s="138"/>
      <c r="C19" s="119" t="s">
        <v>13</v>
      </c>
      <c r="D19" s="108">
        <f>5*12</f>
        <v>60</v>
      </c>
      <c r="E19" s="290" t="s">
        <v>74</v>
      </c>
      <c r="F19" s="291"/>
    </row>
    <row r="20" spans="2:6" x14ac:dyDescent="0.3">
      <c r="B20" s="139"/>
      <c r="C20" s="22"/>
      <c r="D20" s="90"/>
      <c r="E20" s="140"/>
      <c r="F20" s="134"/>
    </row>
    <row r="21" spans="2:6" x14ac:dyDescent="0.3">
      <c r="B21" s="39"/>
      <c r="C21" s="22" t="s">
        <v>49</v>
      </c>
      <c r="D21" s="129">
        <f>D17/((1+D18)^D19)</f>
        <v>199318.39307882739</v>
      </c>
      <c r="E21" s="117">
        <f>PV(D18,D19,,-D17)</f>
        <v>199318.39307882739</v>
      </c>
      <c r="F21" s="103"/>
    </row>
    <row r="25" spans="2:6" x14ac:dyDescent="0.3">
      <c r="B25" s="169"/>
      <c r="C25" s="285" t="s">
        <v>108</v>
      </c>
      <c r="D25" s="285"/>
      <c r="E25" s="285"/>
      <c r="F25" s="170"/>
    </row>
    <row r="26" spans="2:6" x14ac:dyDescent="0.3">
      <c r="B26" s="21"/>
      <c r="C26" s="22"/>
      <c r="D26" s="22"/>
      <c r="E26" s="22"/>
      <c r="F26" s="103"/>
    </row>
    <row r="27" spans="2:6" x14ac:dyDescent="0.3">
      <c r="B27" s="109" t="s">
        <v>33</v>
      </c>
      <c r="C27" s="4" t="s">
        <v>70</v>
      </c>
      <c r="D27" s="6">
        <v>150000</v>
      </c>
      <c r="E27" s="6">
        <v>210000</v>
      </c>
      <c r="F27" s="172">
        <v>270000</v>
      </c>
    </row>
    <row r="28" spans="2:6" x14ac:dyDescent="0.3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 x14ac:dyDescent="0.3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 x14ac:dyDescent="0.3">
      <c r="B30" s="110"/>
      <c r="C30" s="34"/>
      <c r="D30" s="38"/>
      <c r="E30" s="38"/>
      <c r="F30" s="108"/>
    </row>
    <row r="31" spans="2:6" x14ac:dyDescent="0.3">
      <c r="B31" s="110"/>
      <c r="C31" s="21" t="s">
        <v>9</v>
      </c>
      <c r="D31" s="174">
        <f>D27/((1+D28)^D29)</f>
        <v>136363.63636363635</v>
      </c>
      <c r="E31" s="174">
        <f>E27/((1+E28)^E29)</f>
        <v>173553.71900826442</v>
      </c>
      <c r="F31" s="175">
        <f>F27/((1+F28)^F29)</f>
        <v>202854.99624342594</v>
      </c>
    </row>
    <row r="32" spans="2:6" x14ac:dyDescent="0.3">
      <c r="B32" s="107"/>
      <c r="C32" s="22"/>
      <c r="D32" s="22"/>
      <c r="E32" s="22"/>
      <c r="F32" s="103"/>
    </row>
    <row r="33" spans="2:6" x14ac:dyDescent="0.3">
      <c r="C33" s="169"/>
      <c r="D33" s="176"/>
      <c r="E33" s="176"/>
      <c r="F33" s="170"/>
    </row>
    <row r="34" spans="2:6" x14ac:dyDescent="0.3">
      <c r="C34" s="304" t="s">
        <v>86</v>
      </c>
      <c r="D34" s="305"/>
      <c r="E34" s="6">
        <f>D31+E31+F31</f>
        <v>512772.35161532671</v>
      </c>
      <c r="F34" s="85"/>
    </row>
    <row r="35" spans="2:6" x14ac:dyDescent="0.3">
      <c r="C35" s="304" t="s">
        <v>91</v>
      </c>
      <c r="D35" s="305"/>
      <c r="E35" s="6">
        <v>380000</v>
      </c>
      <c r="F35" s="85"/>
    </row>
    <row r="36" spans="2:6" x14ac:dyDescent="0.3">
      <c r="C36" s="295" t="s">
        <v>88</v>
      </c>
      <c r="D36" s="296"/>
      <c r="E36" s="6">
        <f>E34-E35</f>
        <v>132772.35161532671</v>
      </c>
      <c r="F36" s="306" t="s">
        <v>130</v>
      </c>
    </row>
    <row r="37" spans="2:6" x14ac:dyDescent="0.3">
      <c r="C37" s="297"/>
      <c r="D37" s="298"/>
      <c r="E37" s="4"/>
      <c r="F37" s="306"/>
    </row>
    <row r="38" spans="2:6" x14ac:dyDescent="0.3">
      <c r="C38" s="21"/>
      <c r="D38" s="22"/>
      <c r="E38" s="22"/>
      <c r="F38" s="103"/>
    </row>
    <row r="42" spans="2:6" x14ac:dyDescent="0.3">
      <c r="B42" s="288" t="s">
        <v>131</v>
      </c>
      <c r="C42" s="283"/>
      <c r="D42" s="289"/>
    </row>
    <row r="43" spans="2:6" x14ac:dyDescent="0.3">
      <c r="B43" s="82"/>
      <c r="C43" s="83"/>
      <c r="D43" s="84"/>
    </row>
    <row r="44" spans="2:6" x14ac:dyDescent="0.3">
      <c r="B44" s="211" t="s">
        <v>33</v>
      </c>
      <c r="C44" s="207" t="s">
        <v>70</v>
      </c>
      <c r="D44" s="206">
        <v>1</v>
      </c>
    </row>
    <row r="45" spans="2:6" x14ac:dyDescent="0.3">
      <c r="B45" s="212" t="s">
        <v>9</v>
      </c>
      <c r="C45" s="4" t="s">
        <v>11</v>
      </c>
      <c r="D45" s="222">
        <f>D44*0.7</f>
        <v>0.7</v>
      </c>
    </row>
    <row r="46" spans="2:6" x14ac:dyDescent="0.3">
      <c r="B46" s="212" t="s">
        <v>10</v>
      </c>
      <c r="C46" s="4" t="s">
        <v>12</v>
      </c>
      <c r="D46" s="209">
        <f>D45</f>
        <v>0.7</v>
      </c>
    </row>
    <row r="47" spans="2:6" x14ac:dyDescent="0.3">
      <c r="B47" s="215"/>
      <c r="C47" s="22" t="s">
        <v>13</v>
      </c>
      <c r="D47" s="210" t="s">
        <v>104</v>
      </c>
    </row>
    <row r="48" spans="2:6" x14ac:dyDescent="0.3">
      <c r="B48" s="215"/>
      <c r="C48" s="213" t="s">
        <v>102</v>
      </c>
      <c r="D48" s="214">
        <f>(LOG(D44/D45))/(LOG(1+D46))</f>
        <v>0.67217481018918279</v>
      </c>
    </row>
    <row r="49" spans="2:4" x14ac:dyDescent="0.3">
      <c r="B49" s="216"/>
      <c r="C49" s="83"/>
      <c r="D49" s="84"/>
    </row>
    <row r="52" spans="2:4" x14ac:dyDescent="0.3">
      <c r="B52" s="288" t="s">
        <v>132</v>
      </c>
      <c r="C52" s="283"/>
      <c r="D52" s="289"/>
    </row>
    <row r="53" spans="2:4" x14ac:dyDescent="0.3">
      <c r="B53" s="79"/>
      <c r="C53" s="220"/>
      <c r="D53" s="221"/>
    </row>
    <row r="54" spans="2:4" x14ac:dyDescent="0.3">
      <c r="B54" s="211" t="s">
        <v>33</v>
      </c>
      <c r="C54" s="207" t="s">
        <v>70</v>
      </c>
      <c r="D54" s="206">
        <v>1</v>
      </c>
    </row>
    <row r="55" spans="2:4" x14ac:dyDescent="0.3">
      <c r="B55" s="212" t="s">
        <v>9</v>
      </c>
      <c r="C55" s="4" t="s">
        <v>11</v>
      </c>
      <c r="D55" s="222">
        <f>D54*0.7</f>
        <v>0.7</v>
      </c>
    </row>
    <row r="56" spans="2:4" x14ac:dyDescent="0.3">
      <c r="B56" s="212" t="s">
        <v>10</v>
      </c>
      <c r="C56" s="4" t="s">
        <v>12</v>
      </c>
      <c r="D56" s="209">
        <f>0.14</f>
        <v>0.14000000000000001</v>
      </c>
    </row>
    <row r="57" spans="2:4" x14ac:dyDescent="0.3">
      <c r="B57" s="218"/>
      <c r="C57" s="22" t="s">
        <v>13</v>
      </c>
      <c r="D57" s="210" t="s">
        <v>104</v>
      </c>
    </row>
    <row r="58" spans="2:4" x14ac:dyDescent="0.3">
      <c r="B58" s="218"/>
      <c r="C58" s="213" t="s">
        <v>102</v>
      </c>
      <c r="D58" s="214">
        <f>(LOG(D54/D55))/(LOG(1+D56))</f>
        <v>2.7221222153770959</v>
      </c>
    </row>
    <row r="59" spans="2:4" x14ac:dyDescent="0.3">
      <c r="B59" s="219"/>
      <c r="C59" s="220"/>
      <c r="D59" s="221"/>
    </row>
    <row r="62" spans="2:4" x14ac:dyDescent="0.3">
      <c r="B62" s="288" t="s">
        <v>133</v>
      </c>
      <c r="C62" s="283"/>
      <c r="D62" s="289"/>
    </row>
    <row r="63" spans="2:4" x14ac:dyDescent="0.3">
      <c r="B63" s="228"/>
      <c r="C63" s="229"/>
      <c r="D63" s="230"/>
    </row>
    <row r="64" spans="2:4" x14ac:dyDescent="0.3">
      <c r="B64" s="211" t="s">
        <v>33</v>
      </c>
      <c r="C64" s="207" t="s">
        <v>70</v>
      </c>
      <c r="D64" s="206">
        <v>1</v>
      </c>
    </row>
    <row r="65" spans="2:4" x14ac:dyDescent="0.3">
      <c r="B65" s="212" t="s">
        <v>9</v>
      </c>
      <c r="C65" s="4" t="s">
        <v>11</v>
      </c>
      <c r="D65" s="222">
        <f>D64*0.7</f>
        <v>0.7</v>
      </c>
    </row>
    <row r="66" spans="2:4" x14ac:dyDescent="0.3">
      <c r="B66" s="212" t="s">
        <v>10</v>
      </c>
      <c r="C66" s="4" t="s">
        <v>12</v>
      </c>
      <c r="D66" s="209">
        <f>0.11</f>
        <v>0.11</v>
      </c>
    </row>
    <row r="67" spans="2:4" x14ac:dyDescent="0.3">
      <c r="B67" s="231"/>
      <c r="C67" s="22" t="s">
        <v>13</v>
      </c>
      <c r="D67" s="210" t="s">
        <v>104</v>
      </c>
    </row>
    <row r="68" spans="2:4" x14ac:dyDescent="0.3">
      <c r="B68" s="231"/>
      <c r="C68" s="213" t="s">
        <v>102</v>
      </c>
      <c r="D68" s="214">
        <f>(LOG(D64/D65))/(LOG(1+D66))</f>
        <v>3.417735641668469</v>
      </c>
    </row>
    <row r="69" spans="2:4" x14ac:dyDescent="0.3">
      <c r="B69" s="232"/>
      <c r="C69" s="229"/>
      <c r="D69" s="230"/>
    </row>
    <row r="72" spans="2:4" x14ac:dyDescent="0.3">
      <c r="B72" s="288" t="s">
        <v>134</v>
      </c>
      <c r="C72" s="283"/>
      <c r="D72" s="289"/>
    </row>
    <row r="73" spans="2:4" x14ac:dyDescent="0.3">
      <c r="B73" s="156"/>
      <c r="C73" s="160"/>
      <c r="D73" s="279"/>
    </row>
    <row r="74" spans="2:4" x14ac:dyDescent="0.3">
      <c r="B74" s="211" t="s">
        <v>33</v>
      </c>
      <c r="C74" s="207" t="s">
        <v>70</v>
      </c>
      <c r="D74" s="206">
        <v>1</v>
      </c>
    </row>
    <row r="75" spans="2:4" x14ac:dyDescent="0.3">
      <c r="B75" s="212" t="s">
        <v>9</v>
      </c>
      <c r="C75" s="4" t="s">
        <v>11</v>
      </c>
      <c r="D75" s="222">
        <f>D74*0.7</f>
        <v>0.7</v>
      </c>
    </row>
    <row r="76" spans="2:4" x14ac:dyDescent="0.3">
      <c r="B76" s="212" t="s">
        <v>10</v>
      </c>
      <c r="C76" s="4" t="s">
        <v>12</v>
      </c>
      <c r="D76" s="209">
        <f>0.1</f>
        <v>0.1</v>
      </c>
    </row>
    <row r="77" spans="2:4" x14ac:dyDescent="0.3">
      <c r="B77" s="277"/>
      <c r="C77" s="22" t="s">
        <v>13</v>
      </c>
      <c r="D77" s="210" t="s">
        <v>104</v>
      </c>
    </row>
    <row r="78" spans="2:4" x14ac:dyDescent="0.3">
      <c r="B78" s="277"/>
      <c r="C78" s="213" t="s">
        <v>102</v>
      </c>
      <c r="D78" s="214">
        <f>(LOG(D74/D75))/(LOG(1+D76))</f>
        <v>3.7422544440793026</v>
      </c>
    </row>
    <row r="79" spans="2:4" x14ac:dyDescent="0.3">
      <c r="B79" s="278"/>
      <c r="C79" s="160"/>
      <c r="D79" s="279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BAECF-769D-491D-A9EE-533A527DD933}">
  <dimension ref="B26:G180"/>
  <sheetViews>
    <sheetView tabSelected="1" topLeftCell="A109" zoomScale="85" zoomScaleNormal="85" workbookViewId="0">
      <selection activeCell="F183" sqref="F183"/>
    </sheetView>
  </sheetViews>
  <sheetFormatPr baseColWidth="10" defaultRowHeight="14.4" x14ac:dyDescent="0.3"/>
  <cols>
    <col min="4" max="4" width="19.109375" customWidth="1"/>
    <col min="5" max="5" width="20" customWidth="1"/>
    <col min="6" max="6" width="19.44140625" customWidth="1"/>
    <col min="7" max="7" width="25" customWidth="1"/>
  </cols>
  <sheetData>
    <row r="26" spans="2:7" x14ac:dyDescent="0.3">
      <c r="B26" s="300" t="s">
        <v>115</v>
      </c>
      <c r="C26" s="301"/>
      <c r="D26" s="301"/>
      <c r="E26" s="301"/>
      <c r="F26" s="301"/>
      <c r="G26" s="310"/>
    </row>
    <row r="27" spans="2:7" x14ac:dyDescent="0.3">
      <c r="B27" s="147" t="s">
        <v>33</v>
      </c>
      <c r="C27" s="4" t="s">
        <v>70</v>
      </c>
      <c r="D27" s="274">
        <v>40000</v>
      </c>
      <c r="E27" s="264"/>
      <c r="F27" s="264"/>
      <c r="G27" s="265"/>
    </row>
    <row r="28" spans="2:7" x14ac:dyDescent="0.3">
      <c r="B28" s="262" t="s">
        <v>9</v>
      </c>
      <c r="C28" s="4" t="s">
        <v>11</v>
      </c>
      <c r="D28" s="274">
        <v>15000</v>
      </c>
      <c r="E28" s="266"/>
      <c r="F28" s="267"/>
      <c r="G28" s="268"/>
    </row>
    <row r="29" spans="2:7" x14ac:dyDescent="0.3">
      <c r="B29" s="148" t="s">
        <v>32</v>
      </c>
      <c r="C29" s="4" t="s">
        <v>13</v>
      </c>
      <c r="D29" s="5">
        <v>5</v>
      </c>
      <c r="E29" s="261">
        <f>D29*3</f>
        <v>15</v>
      </c>
      <c r="F29" s="261">
        <f>D29*4</f>
        <v>20</v>
      </c>
      <c r="G29" s="260">
        <f>D29*12</f>
        <v>60</v>
      </c>
    </row>
    <row r="30" spans="2:7" x14ac:dyDescent="0.3">
      <c r="B30" s="269"/>
      <c r="C30" s="4" t="s">
        <v>12</v>
      </c>
      <c r="D30" s="5" t="s">
        <v>104</v>
      </c>
      <c r="E30" s="269"/>
      <c r="F30" s="269"/>
      <c r="G30" s="265"/>
    </row>
    <row r="31" spans="2:7" x14ac:dyDescent="0.3">
      <c r="B31" s="270"/>
      <c r="C31" s="311" t="s">
        <v>116</v>
      </c>
      <c r="D31" s="312"/>
      <c r="E31" s="262" t="s">
        <v>135</v>
      </c>
      <c r="F31" s="262" t="s">
        <v>136</v>
      </c>
      <c r="G31" s="5" t="s">
        <v>118</v>
      </c>
    </row>
    <row r="32" spans="2:7" x14ac:dyDescent="0.3">
      <c r="B32" s="266"/>
      <c r="C32" s="267"/>
      <c r="D32" s="268"/>
      <c r="E32" s="270"/>
      <c r="F32" s="270"/>
      <c r="G32" s="268"/>
    </row>
    <row r="33" spans="2:7" x14ac:dyDescent="0.3">
      <c r="B33" s="8"/>
      <c r="C33" s="50" t="s">
        <v>12</v>
      </c>
      <c r="D33" s="259">
        <f>RATE(D29,,-$D$28,$D$27)</f>
        <v>0.21672868378640714</v>
      </c>
      <c r="E33" s="259">
        <f>RATE(E29,,-$D$28,$D$27)</f>
        <v>6.7573820974573873E-2</v>
      </c>
      <c r="F33" s="259">
        <f>RATE(F29,,-$D$28,$D$27)</f>
        <v>5.0263896562226518E-2</v>
      </c>
      <c r="G33" s="259">
        <f>RATE(G29,,-$D$28,$D$27)</f>
        <v>1.6481500001101948E-2</v>
      </c>
    </row>
    <row r="61" spans="2:7" x14ac:dyDescent="0.3">
      <c r="B61" s="300" t="s">
        <v>115</v>
      </c>
      <c r="C61" s="301"/>
      <c r="D61" s="301"/>
      <c r="E61" s="301"/>
      <c r="F61" s="301"/>
      <c r="G61" s="310"/>
    </row>
    <row r="62" spans="2:7" x14ac:dyDescent="0.3">
      <c r="B62" s="147" t="s">
        <v>33</v>
      </c>
      <c r="C62" s="4" t="s">
        <v>70</v>
      </c>
      <c r="D62" s="274">
        <v>20000</v>
      </c>
      <c r="E62" s="130"/>
      <c r="F62" s="130"/>
      <c r="G62" s="320"/>
    </row>
    <row r="63" spans="2:7" x14ac:dyDescent="0.3">
      <c r="B63" s="262" t="s">
        <v>9</v>
      </c>
      <c r="C63" s="4" t="s">
        <v>11</v>
      </c>
      <c r="D63" s="274">
        <v>10000</v>
      </c>
      <c r="E63" s="228"/>
      <c r="F63" s="229"/>
      <c r="G63" s="230"/>
    </row>
    <row r="64" spans="2:7" x14ac:dyDescent="0.3">
      <c r="B64" s="148" t="s">
        <v>32</v>
      </c>
      <c r="C64" s="4" t="s">
        <v>13</v>
      </c>
      <c r="D64" s="5">
        <v>3</v>
      </c>
      <c r="E64" s="261">
        <f>D64*2</f>
        <v>6</v>
      </c>
      <c r="F64" s="261">
        <f>D64*6</f>
        <v>18</v>
      </c>
      <c r="G64" s="260">
        <f>D64*12</f>
        <v>36</v>
      </c>
    </row>
    <row r="65" spans="2:7" x14ac:dyDescent="0.3">
      <c r="B65" s="321"/>
      <c r="C65" s="4" t="s">
        <v>12</v>
      </c>
      <c r="D65" s="5"/>
      <c r="E65" s="321"/>
      <c r="F65" s="321"/>
      <c r="G65" s="320"/>
    </row>
    <row r="66" spans="2:7" x14ac:dyDescent="0.3">
      <c r="B66" s="322"/>
      <c r="C66" s="311" t="s">
        <v>116</v>
      </c>
      <c r="D66" s="312"/>
      <c r="E66" s="262" t="s">
        <v>137</v>
      </c>
      <c r="F66" s="262" t="s">
        <v>138</v>
      </c>
      <c r="G66" s="5" t="s">
        <v>118</v>
      </c>
    </row>
    <row r="67" spans="2:7" x14ac:dyDescent="0.3">
      <c r="B67" s="228"/>
      <c r="C67" s="229"/>
      <c r="D67" s="230"/>
      <c r="E67" s="322"/>
      <c r="F67" s="322"/>
      <c r="G67" s="230"/>
    </row>
    <row r="68" spans="2:7" x14ac:dyDescent="0.3">
      <c r="B68" s="8"/>
      <c r="C68" s="50" t="s">
        <v>12</v>
      </c>
      <c r="D68" s="259">
        <f>RATE(D64,,-$D$63,$D$62)</f>
        <v>0.25992104989487314</v>
      </c>
      <c r="E68" s="259">
        <f>RATE(E64,,-$D$63,$D$62)</f>
        <v>0.12246204830937296</v>
      </c>
      <c r="F68" s="259">
        <f>RATE(F64,,-$D$63,$D$62)</f>
        <v>3.9259226031851724E-2</v>
      </c>
      <c r="G68" s="259">
        <f>RATE(G64,,-$D$63,$D$62)</f>
        <v>1.9440643702145096E-2</v>
      </c>
    </row>
    <row r="94" spans="2:5" x14ac:dyDescent="0.3">
      <c r="B94" s="52"/>
      <c r="C94" s="301" t="s">
        <v>107</v>
      </c>
      <c r="D94" s="301"/>
      <c r="E94" s="260"/>
    </row>
    <row r="95" spans="2:5" x14ac:dyDescent="0.3">
      <c r="B95" s="147" t="s">
        <v>123</v>
      </c>
      <c r="C95" s="4" t="s">
        <v>124</v>
      </c>
      <c r="D95" s="274">
        <v>2000</v>
      </c>
      <c r="E95" s="5"/>
    </row>
    <row r="96" spans="2:5" x14ac:dyDescent="0.3">
      <c r="B96" s="148" t="s">
        <v>32</v>
      </c>
      <c r="C96" s="4" t="s">
        <v>12</v>
      </c>
      <c r="D96" s="275">
        <f>10%/12</f>
        <v>8.3333333333333332E-3</v>
      </c>
      <c r="E96" s="5"/>
    </row>
    <row r="97" spans="2:5" x14ac:dyDescent="0.3">
      <c r="B97" s="262"/>
      <c r="C97" s="4" t="s">
        <v>13</v>
      </c>
      <c r="D97" s="5">
        <v>24</v>
      </c>
      <c r="E97" s="5"/>
    </row>
    <row r="98" spans="2:5" x14ac:dyDescent="0.3">
      <c r="B98" s="262"/>
      <c r="C98" s="4"/>
      <c r="D98" s="5"/>
      <c r="E98" s="5"/>
    </row>
    <row r="99" spans="2:5" x14ac:dyDescent="0.3">
      <c r="B99" s="148"/>
      <c r="C99" s="50" t="s">
        <v>49</v>
      </c>
      <c r="D99" s="273">
        <f>FV(D96,D97,-D95)</f>
        <v>52893.83073013417</v>
      </c>
      <c r="E99" s="273">
        <f>D95*(((1+D96)^D97-1)/D96)</f>
        <v>52893.83073013417</v>
      </c>
    </row>
    <row r="129" spans="2:7" x14ac:dyDescent="0.3">
      <c r="B129" s="300" t="s">
        <v>115</v>
      </c>
      <c r="C129" s="301"/>
      <c r="D129" s="301"/>
      <c r="E129" s="301"/>
      <c r="F129" s="301"/>
      <c r="G129" s="310"/>
    </row>
    <row r="130" spans="2:7" x14ac:dyDescent="0.3">
      <c r="B130" s="147" t="s">
        <v>33</v>
      </c>
      <c r="C130" s="4" t="s">
        <v>70</v>
      </c>
      <c r="D130" s="274">
        <v>8000</v>
      </c>
      <c r="E130" s="120"/>
      <c r="F130" s="120"/>
      <c r="G130" s="318"/>
    </row>
    <row r="131" spans="2:7" x14ac:dyDescent="0.3">
      <c r="B131" s="262" t="s">
        <v>9</v>
      </c>
      <c r="C131" s="4" t="s">
        <v>11</v>
      </c>
      <c r="D131" s="274">
        <v>5000</v>
      </c>
      <c r="E131" s="79"/>
      <c r="F131" s="220"/>
      <c r="G131" s="221"/>
    </row>
    <row r="132" spans="2:7" x14ac:dyDescent="0.3">
      <c r="B132" s="148" t="s">
        <v>32</v>
      </c>
      <c r="C132" s="4" t="s">
        <v>13</v>
      </c>
      <c r="D132" s="5">
        <v>1</v>
      </c>
      <c r="E132" s="261">
        <f>D132*2</f>
        <v>2</v>
      </c>
      <c r="F132" s="261">
        <f>D132*4</f>
        <v>4</v>
      </c>
      <c r="G132" s="260">
        <f>D132*6</f>
        <v>6</v>
      </c>
    </row>
    <row r="133" spans="2:7" x14ac:dyDescent="0.3">
      <c r="B133" s="319"/>
      <c r="C133" s="4" t="s">
        <v>12</v>
      </c>
      <c r="D133" s="5" t="s">
        <v>104</v>
      </c>
      <c r="E133" s="319"/>
      <c r="F133" s="319"/>
      <c r="G133" s="318"/>
    </row>
    <row r="134" spans="2:7" x14ac:dyDescent="0.3">
      <c r="B134" s="317"/>
      <c r="C134" s="311" t="s">
        <v>116</v>
      </c>
      <c r="D134" s="312"/>
      <c r="E134" s="262" t="s">
        <v>137</v>
      </c>
      <c r="F134" s="262" t="s">
        <v>136</v>
      </c>
      <c r="G134" s="5" t="s">
        <v>138</v>
      </c>
    </row>
    <row r="135" spans="2:7" x14ac:dyDescent="0.3">
      <c r="B135" s="79"/>
      <c r="C135" s="220"/>
      <c r="D135" s="221"/>
      <c r="E135" s="317"/>
      <c r="F135" s="317"/>
      <c r="G135" s="221"/>
    </row>
    <row r="136" spans="2:7" x14ac:dyDescent="0.3">
      <c r="B136" s="8"/>
      <c r="C136" s="50" t="s">
        <v>12</v>
      </c>
      <c r="D136" s="259">
        <f>RATE(D132,,-$D$131,$D$130)</f>
        <v>0.59999999999999987</v>
      </c>
      <c r="E136" s="259">
        <f>RATE(E132,,-$D$131,$D$130)</f>
        <v>0.26491106406734927</v>
      </c>
      <c r="F136" s="259">
        <f>RATE(F132,,-$D$131,$D$130)</f>
        <v>0.1246826503821632</v>
      </c>
      <c r="G136" s="259">
        <f>RATE(G132,,-$D$131,$D$130)</f>
        <v>8.1483747120199082E-2</v>
      </c>
    </row>
    <row r="173" spans="2:7" x14ac:dyDescent="0.3">
      <c r="B173" s="300" t="s">
        <v>115</v>
      </c>
      <c r="C173" s="301"/>
      <c r="D173" s="301"/>
      <c r="E173" s="301"/>
      <c r="F173" s="301"/>
      <c r="G173" s="310"/>
    </row>
    <row r="174" spans="2:7" x14ac:dyDescent="0.3">
      <c r="B174" s="147" t="s">
        <v>33</v>
      </c>
      <c r="C174" s="4" t="s">
        <v>70</v>
      </c>
      <c r="D174" s="274">
        <v>22000</v>
      </c>
      <c r="E174" s="194"/>
      <c r="F174" s="194"/>
      <c r="G174" s="314"/>
    </row>
    <row r="175" spans="2:7" x14ac:dyDescent="0.3">
      <c r="B175" s="262" t="s">
        <v>9</v>
      </c>
      <c r="C175" s="4" t="s">
        <v>11</v>
      </c>
      <c r="D175" s="274">
        <v>8000</v>
      </c>
      <c r="E175" s="224"/>
      <c r="F175" s="195"/>
      <c r="G175" s="225"/>
    </row>
    <row r="176" spans="2:7" x14ac:dyDescent="0.3">
      <c r="B176" s="148" t="s">
        <v>32</v>
      </c>
      <c r="C176" s="4" t="s">
        <v>13</v>
      </c>
      <c r="D176" s="5">
        <v>4</v>
      </c>
      <c r="E176" s="261">
        <f>D176*2</f>
        <v>8</v>
      </c>
      <c r="F176" s="261">
        <f>D176*4</f>
        <v>16</v>
      </c>
      <c r="G176" s="260">
        <f>D176*12</f>
        <v>48</v>
      </c>
    </row>
    <row r="177" spans="2:7" x14ac:dyDescent="0.3">
      <c r="B177" s="315"/>
      <c r="C177" s="4" t="s">
        <v>12</v>
      </c>
      <c r="D177" s="5" t="s">
        <v>104</v>
      </c>
      <c r="E177" s="315"/>
      <c r="F177" s="315"/>
      <c r="G177" s="314"/>
    </row>
    <row r="178" spans="2:7" x14ac:dyDescent="0.3">
      <c r="B178" s="316"/>
      <c r="C178" s="311" t="s">
        <v>116</v>
      </c>
      <c r="D178" s="312"/>
      <c r="E178" s="262" t="s">
        <v>137</v>
      </c>
      <c r="F178" s="262" t="s">
        <v>136</v>
      </c>
      <c r="G178" s="5" t="s">
        <v>139</v>
      </c>
    </row>
    <row r="179" spans="2:7" x14ac:dyDescent="0.3">
      <c r="B179" s="224"/>
      <c r="C179" s="195"/>
      <c r="D179" s="225"/>
      <c r="E179" s="316"/>
      <c r="F179" s="316"/>
      <c r="G179" s="225"/>
    </row>
    <row r="180" spans="2:7" x14ac:dyDescent="0.3">
      <c r="B180" s="8"/>
      <c r="C180" s="50" t="s">
        <v>12</v>
      </c>
      <c r="D180" s="259">
        <f>RATE(D176,,-$D$175,$D$174)</f>
        <v>0.28775478845054175</v>
      </c>
      <c r="E180" s="259">
        <f>RATE(E176,,-$D$175,$D$174)</f>
        <v>0.13479283944263534</v>
      </c>
      <c r="F180" s="259">
        <f>RATE(F176,,-$D$175,$D$174)</f>
        <v>6.5266557929435545E-2</v>
      </c>
      <c r="G180" s="259">
        <f>RATE(G176,,-$D$175,$D$174)</f>
        <v>2.1298665561499057E-2</v>
      </c>
    </row>
  </sheetData>
  <mergeCells count="9">
    <mergeCell ref="B129:G129"/>
    <mergeCell ref="C134:D134"/>
    <mergeCell ref="B173:G173"/>
    <mergeCell ref="C178:D178"/>
    <mergeCell ref="C94:D94"/>
    <mergeCell ref="B26:G26"/>
    <mergeCell ref="C31:D31"/>
    <mergeCell ref="B61:G61"/>
    <mergeCell ref="C66:D6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4DF4A-99FC-4D2C-A5BC-979C341F4478}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 x14ac:dyDescent="0.3"/>
  <sheetData>
    <row r="2" spans="4:6" x14ac:dyDescent="0.3">
      <c r="D2" s="287" t="s">
        <v>23</v>
      </c>
      <c r="E2" s="287"/>
      <c r="F2" s="287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 x14ac:dyDescent="0.3"/>
  <sheetData>
    <row r="2" spans="1:10" x14ac:dyDescent="0.3">
      <c r="B2" s="287" t="s">
        <v>0</v>
      </c>
      <c r="C2" s="287"/>
      <c r="D2" s="287"/>
      <c r="G2" s="287"/>
      <c r="H2" s="287"/>
      <c r="I2" s="287"/>
      <c r="J2" s="287"/>
    </row>
    <row r="4" spans="1:10" x14ac:dyDescent="0.3">
      <c r="B4" t="s">
        <v>24</v>
      </c>
    </row>
    <row r="6" spans="1:10" x14ac:dyDescent="0.3">
      <c r="B6" t="s">
        <v>25</v>
      </c>
    </row>
    <row r="7" spans="1:10" x14ac:dyDescent="0.3">
      <c r="E7" t="s">
        <v>30</v>
      </c>
    </row>
    <row r="8" spans="1:10" x14ac:dyDescent="0.3">
      <c r="B8" t="s">
        <v>26</v>
      </c>
      <c r="E8" t="s">
        <v>29</v>
      </c>
    </row>
    <row r="10" spans="1:10" x14ac:dyDescent="0.3">
      <c r="B10" t="s">
        <v>27</v>
      </c>
      <c r="E10" t="s">
        <v>28</v>
      </c>
    </row>
    <row r="11" spans="1:10" x14ac:dyDescent="0.3">
      <c r="A11">
        <v>0</v>
      </c>
      <c r="B11">
        <v>100000</v>
      </c>
      <c r="E11">
        <v>100000</v>
      </c>
    </row>
    <row r="12" spans="1:10" x14ac:dyDescent="0.3">
      <c r="A12">
        <v>1</v>
      </c>
      <c r="B12">
        <v>120000</v>
      </c>
      <c r="E12">
        <v>120000</v>
      </c>
    </row>
    <row r="13" spans="1:10" x14ac:dyDescent="0.3">
      <c r="A13">
        <v>2</v>
      </c>
      <c r="B13">
        <v>140000</v>
      </c>
      <c r="E13">
        <v>144000</v>
      </c>
    </row>
    <row r="14" spans="1:10" x14ac:dyDescent="0.3">
      <c r="A14">
        <v>3</v>
      </c>
      <c r="B14">
        <v>160000</v>
      </c>
      <c r="E14">
        <v>172800</v>
      </c>
    </row>
    <row r="15" spans="1:10" x14ac:dyDescent="0.3">
      <c r="A15">
        <v>4</v>
      </c>
      <c r="B15">
        <v>180000</v>
      </c>
      <c r="E15">
        <v>207360</v>
      </c>
    </row>
    <row r="16" spans="1:10" x14ac:dyDescent="0.3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 x14ac:dyDescent="0.3"/>
  <cols>
    <col min="4" max="4" width="12.77734375" bestFit="1" customWidth="1"/>
    <col min="5" max="5" width="15.88671875" customWidth="1"/>
    <col min="6" max="6" width="12.77734375" bestFit="1" customWidth="1"/>
  </cols>
  <sheetData>
    <row r="2" spans="2:6" x14ac:dyDescent="0.3">
      <c r="C2" s="287" t="s">
        <v>31</v>
      </c>
      <c r="D2" s="287"/>
    </row>
    <row r="4" spans="2:6" x14ac:dyDescent="0.3">
      <c r="B4" s="50" t="s">
        <v>9</v>
      </c>
      <c r="C4" t="s">
        <v>11</v>
      </c>
      <c r="D4" s="48">
        <v>100000</v>
      </c>
    </row>
    <row r="5" spans="2:6" x14ac:dyDescent="0.3">
      <c r="B5" s="51" t="s">
        <v>32</v>
      </c>
      <c r="C5" t="s">
        <v>12</v>
      </c>
      <c r="D5" s="49">
        <v>0.2</v>
      </c>
    </row>
    <row r="6" spans="2:6" x14ac:dyDescent="0.3">
      <c r="C6" s="50" t="s">
        <v>13</v>
      </c>
      <c r="D6" s="50">
        <v>5</v>
      </c>
    </row>
    <row r="7" spans="2:6" x14ac:dyDescent="0.3">
      <c r="F7" t="s">
        <v>34</v>
      </c>
    </row>
    <row r="8" spans="2:6" x14ac:dyDescent="0.3">
      <c r="C8" s="52" t="s">
        <v>33</v>
      </c>
      <c r="D8" s="53">
        <f>FV(D5,D6,,-D4)</f>
        <v>248832</v>
      </c>
      <c r="F8" s="55">
        <f>D4*(1+(D5*D6))</f>
        <v>200000</v>
      </c>
    </row>
    <row r="11" spans="2:6" x14ac:dyDescent="0.3">
      <c r="D11" t="s">
        <v>35</v>
      </c>
      <c r="E11" t="s">
        <v>21</v>
      </c>
      <c r="F11" t="s">
        <v>36</v>
      </c>
    </row>
    <row r="12" spans="2:6" x14ac:dyDescent="0.3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 x14ac:dyDescent="0.3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 x14ac:dyDescent="0.3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 x14ac:dyDescent="0.3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 x14ac:dyDescent="0.3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 x14ac:dyDescent="0.3">
      <c r="C17" s="287" t="s">
        <v>19</v>
      </c>
      <c r="D17" s="287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 x14ac:dyDescent="0.3"/>
  <sheetData>
    <row r="2" spans="3:6" x14ac:dyDescent="0.3">
      <c r="D2" s="287" t="s">
        <v>37</v>
      </c>
      <c r="E2" s="287"/>
      <c r="F2" s="287"/>
    </row>
    <row r="4" spans="3:6" x14ac:dyDescent="0.3">
      <c r="D4" t="s">
        <v>38</v>
      </c>
    </row>
    <row r="5" spans="3:6" x14ac:dyDescent="0.3">
      <c r="D5" t="s">
        <v>39</v>
      </c>
    </row>
    <row r="6" spans="3:6" x14ac:dyDescent="0.3">
      <c r="D6" t="s">
        <v>40</v>
      </c>
    </row>
    <row r="8" spans="3:6" x14ac:dyDescent="0.3">
      <c r="C8" t="s">
        <v>41</v>
      </c>
      <c r="D8">
        <v>500</v>
      </c>
      <c r="E8" t="s">
        <v>42</v>
      </c>
    </row>
    <row r="9" spans="3:6" x14ac:dyDescent="0.3">
      <c r="D9">
        <v>500</v>
      </c>
      <c r="E9" t="s">
        <v>43</v>
      </c>
    </row>
    <row r="10" spans="3:6" x14ac:dyDescent="0.3">
      <c r="D10">
        <v>500</v>
      </c>
      <c r="E10">
        <v>1.4295020000000001</v>
      </c>
    </row>
    <row r="11" spans="3:6" x14ac:dyDescent="0.3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5" sqref="D5"/>
    </sheetView>
  </sheetViews>
  <sheetFormatPr baseColWidth="10" defaultRowHeight="14.4" x14ac:dyDescent="0.3"/>
  <cols>
    <col min="4" max="4" width="12.6640625" bestFit="1" customWidth="1"/>
  </cols>
  <sheetData>
    <row r="1" spans="3:5" x14ac:dyDescent="0.3">
      <c r="C1" s="288" t="s">
        <v>46</v>
      </c>
      <c r="D1" s="283"/>
      <c r="E1" s="289"/>
    </row>
    <row r="2" spans="3:5" x14ac:dyDescent="0.3">
      <c r="C2" s="82"/>
      <c r="D2" s="83"/>
      <c r="E2" s="84"/>
    </row>
    <row r="3" spans="3:5" x14ac:dyDescent="0.3">
      <c r="C3" s="64" t="s">
        <v>11</v>
      </c>
      <c r="D3" s="65">
        <v>500</v>
      </c>
      <c r="E3" s="69"/>
    </row>
    <row r="4" spans="3:5" x14ac:dyDescent="0.3">
      <c r="C4" s="67" t="s">
        <v>12</v>
      </c>
      <c r="D4" s="68">
        <f>18%/12</f>
        <v>1.4999999999999999E-2</v>
      </c>
      <c r="E4" s="56">
        <v>0.18</v>
      </c>
    </row>
    <row r="5" spans="3:5" x14ac:dyDescent="0.3">
      <c r="C5" s="8" t="s">
        <v>13</v>
      </c>
      <c r="D5" s="66">
        <f>2*(12)</f>
        <v>24</v>
      </c>
      <c r="E5" s="57"/>
    </row>
    <row r="6" spans="3:5" x14ac:dyDescent="0.3">
      <c r="C6" s="70"/>
      <c r="D6" s="71"/>
      <c r="E6" s="72"/>
    </row>
    <row r="7" spans="3:5" x14ac:dyDescent="0.3">
      <c r="C7" s="73"/>
      <c r="D7" s="74"/>
      <c r="E7" s="75"/>
    </row>
    <row r="8" spans="3:5" x14ac:dyDescent="0.3">
      <c r="C8" s="8" t="s">
        <v>47</v>
      </c>
      <c r="D8" s="10">
        <f>FV(D4,D5,,-D3)</f>
        <v>714.75140596451013</v>
      </c>
      <c r="E8" s="57"/>
    </row>
    <row r="10" spans="3:5" x14ac:dyDescent="0.3">
      <c r="C10" s="288" t="s">
        <v>48</v>
      </c>
      <c r="D10" s="283"/>
      <c r="E10" s="289"/>
    </row>
    <row r="11" spans="3:5" x14ac:dyDescent="0.3">
      <c r="C11" s="79"/>
      <c r="D11" s="80"/>
      <c r="E11" s="81"/>
    </row>
    <row r="12" spans="3:5" x14ac:dyDescent="0.3">
      <c r="C12" s="60" t="s">
        <v>11</v>
      </c>
      <c r="D12" s="61">
        <v>500</v>
      </c>
      <c r="E12" s="5"/>
    </row>
    <row r="13" spans="3:5" x14ac:dyDescent="0.3">
      <c r="C13" s="59" t="s">
        <v>12</v>
      </c>
      <c r="D13" s="62">
        <f>18%/12</f>
        <v>1.4999999999999999E-2</v>
      </c>
      <c r="E13" s="63">
        <v>0.18</v>
      </c>
    </row>
    <row r="14" spans="3:5" x14ac:dyDescent="0.3">
      <c r="C14" s="34" t="s">
        <v>13</v>
      </c>
      <c r="D14" s="37">
        <f>2*(12)</f>
        <v>24</v>
      </c>
      <c r="E14" s="57"/>
    </row>
    <row r="15" spans="3:5" x14ac:dyDescent="0.3">
      <c r="C15" s="76"/>
      <c r="D15" s="77"/>
      <c r="E15" s="78"/>
    </row>
    <row r="16" spans="3:5" x14ac:dyDescent="0.3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15" sqref="C15"/>
    </sheetView>
  </sheetViews>
  <sheetFormatPr baseColWidth="10" defaultRowHeight="14.4" x14ac:dyDescent="0.3"/>
  <cols>
    <col min="3" max="3" width="19.33203125" customWidth="1"/>
    <col min="4" max="4" width="14.6640625" customWidth="1"/>
  </cols>
  <sheetData>
    <row r="2" spans="2:4" x14ac:dyDescent="0.3">
      <c r="B2" s="284" t="s">
        <v>50</v>
      </c>
      <c r="C2" s="285"/>
      <c r="D2" s="286"/>
    </row>
    <row r="3" spans="2:4" x14ac:dyDescent="0.3">
      <c r="B3" s="97"/>
      <c r="C3" s="98"/>
      <c r="D3" s="99"/>
    </row>
    <row r="4" spans="2:4" x14ac:dyDescent="0.3">
      <c r="B4" s="86" t="s">
        <v>11</v>
      </c>
      <c r="C4" s="89">
        <v>15000</v>
      </c>
      <c r="D4" s="85"/>
    </row>
    <row r="5" spans="2:4" x14ac:dyDescent="0.3">
      <c r="B5" s="34" t="s">
        <v>12</v>
      </c>
      <c r="C5" s="37">
        <f>12%/4</f>
        <v>0.03</v>
      </c>
      <c r="D5" s="88">
        <v>0.12</v>
      </c>
    </row>
    <row r="6" spans="2:4" x14ac:dyDescent="0.3">
      <c r="B6" s="92" t="s">
        <v>13</v>
      </c>
      <c r="C6" s="90">
        <f>1*4</f>
        <v>4</v>
      </c>
      <c r="D6" s="100"/>
    </row>
    <row r="7" spans="2:4" x14ac:dyDescent="0.3">
      <c r="B7" s="101"/>
      <c r="C7" s="99"/>
      <c r="D7" s="100"/>
    </row>
    <row r="8" spans="2:4" x14ac:dyDescent="0.3">
      <c r="B8" s="21" t="s">
        <v>49</v>
      </c>
      <c r="C8" s="91">
        <f>FV(C5,C6,,-C4)</f>
        <v>16882.632149999998</v>
      </c>
      <c r="D8" s="99"/>
    </row>
    <row r="11" spans="2:4" x14ac:dyDescent="0.3">
      <c r="B11" s="284" t="s">
        <v>51</v>
      </c>
      <c r="C11" s="285"/>
      <c r="D11" s="286"/>
    </row>
    <row r="12" spans="2:4" x14ac:dyDescent="0.3">
      <c r="B12" s="95"/>
      <c r="C12" s="96"/>
      <c r="D12" s="94"/>
    </row>
    <row r="13" spans="2:4" x14ac:dyDescent="0.3">
      <c r="B13" s="21" t="s">
        <v>11</v>
      </c>
      <c r="C13" s="89">
        <v>50000</v>
      </c>
      <c r="D13" s="85"/>
    </row>
    <row r="14" spans="2:4" x14ac:dyDescent="0.3">
      <c r="B14" s="34" t="s">
        <v>12</v>
      </c>
      <c r="C14" s="90">
        <f>D14/2</f>
        <v>0.1</v>
      </c>
      <c r="D14" s="88">
        <v>0.2</v>
      </c>
    </row>
    <row r="15" spans="2:4" x14ac:dyDescent="0.3">
      <c r="B15" s="87" t="s">
        <v>13</v>
      </c>
      <c r="C15" s="37">
        <f>2*2</f>
        <v>4</v>
      </c>
      <c r="D15" s="93"/>
    </row>
    <row r="16" spans="2:4" x14ac:dyDescent="0.3">
      <c r="B16" s="95"/>
      <c r="C16" s="94"/>
      <c r="D16" s="93"/>
    </row>
    <row r="17" spans="2:4" x14ac:dyDescent="0.3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 x14ac:dyDescent="0.3"/>
  <sheetData>
    <row r="1" spans="3:6" x14ac:dyDescent="0.3">
      <c r="D1" s="287" t="s">
        <v>52</v>
      </c>
      <c r="E1" s="287"/>
      <c r="F1" s="287"/>
    </row>
    <row r="3" spans="3:6" x14ac:dyDescent="0.3">
      <c r="C3" t="s">
        <v>53</v>
      </c>
      <c r="D3">
        <f xml:space="preserve"> 0.03</f>
        <v>0.03</v>
      </c>
    </row>
    <row r="5" spans="3:6" x14ac:dyDescent="0.3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29</vt:i4>
      </vt:variant>
    </vt:vector>
  </HeadingPairs>
  <TitlesOfParts>
    <vt:vector size="29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EJERCICIO ACUMULATIVO 3</vt:lpstr>
      <vt:lpstr>EJERCICIOS DE REPASO 03 NOV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2022-11-07T17:58:14Z</dcterms:modified>
</cp:coreProperties>
</file>